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yle\OSM Dataset Upload\REPS Invertebrate Contaminants\"/>
    </mc:Choice>
  </mc:AlternateContent>
  <xr:revisionPtr revIDLastSave="0" documentId="13_ncr:1_{1118461B-D215-42D9-870B-EFF1CB8B30DD}" xr6:coauthVersionLast="46" xr6:coauthVersionMax="46" xr10:uidLastSave="{00000000-0000-0000-0000-000000000000}"/>
  <bookViews>
    <workbookView xWindow="-108" yWindow="-108" windowWidth="23256" windowHeight="12576" tabRatio="805" activeTab="7" xr2:uid="{00000000-000D-0000-FFFF-FFFF00000000}"/>
  </bookViews>
  <sheets>
    <sheet name="Site Locations" sheetId="8" r:id="rId1"/>
    <sheet name="25-26June2013" sheetId="3" r:id="rId2"/>
    <sheet name="9-10July2013" sheetId="4" r:id="rId3"/>
    <sheet name="25-26July2013" sheetId="5" r:id="rId4"/>
    <sheet name="13-14Aug2013" sheetId="6" r:id="rId5"/>
    <sheet name="all data mehg" sheetId="2" r:id="rId6"/>
    <sheet name="raw data thg" sheetId="7" r:id="rId7"/>
    <sheet name="summarized data" sheetId="1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7" hidden="1">'summarized data'!$D$1:$D$103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3" l="1"/>
  <c r="W7" i="7"/>
  <c r="B66" i="7" l="1"/>
  <c r="C63" i="7" l="1"/>
  <c r="I100" i="2" l="1"/>
  <c r="J100" i="2" s="1"/>
  <c r="D101" i="2"/>
  <c r="D102" i="2"/>
  <c r="D103" i="2"/>
  <c r="D104" i="2"/>
  <c r="D105" i="2"/>
  <c r="D106" i="2"/>
  <c r="D107" i="2"/>
  <c r="D100" i="2"/>
  <c r="F100" i="2"/>
  <c r="E100" i="2"/>
  <c r="G100" i="2" s="1"/>
  <c r="H100" i="2" s="1"/>
  <c r="D92" i="2"/>
  <c r="D93" i="2"/>
  <c r="D94" i="2"/>
  <c r="D95" i="2"/>
  <c r="D96" i="2"/>
  <c r="D97" i="2"/>
  <c r="D98" i="2"/>
  <c r="D99" i="2"/>
  <c r="D91" i="2"/>
  <c r="I91" i="2" s="1"/>
  <c r="J91" i="2" s="1"/>
  <c r="F91" i="2"/>
  <c r="E91" i="2"/>
  <c r="G91" i="2" s="1"/>
  <c r="H91" i="2" s="1"/>
  <c r="T12" i="6"/>
  <c r="T11" i="6"/>
  <c r="G2" i="2" l="1"/>
  <c r="G5" i="2"/>
  <c r="U11" i="6" l="1"/>
  <c r="D59" i="7" l="1"/>
  <c r="H59" i="7" s="1"/>
  <c r="D58" i="7"/>
  <c r="H58" i="7" s="1"/>
  <c r="D57" i="7"/>
  <c r="H57" i="7" s="1"/>
  <c r="D56" i="7"/>
  <c r="L55" i="7"/>
  <c r="P55" i="7" s="1"/>
  <c r="D55" i="7"/>
  <c r="L54" i="7"/>
  <c r="P54" i="7" s="1"/>
  <c r="D54" i="7"/>
  <c r="L53" i="7"/>
  <c r="P53" i="7" s="1"/>
  <c r="D53" i="7"/>
  <c r="L52" i="7"/>
  <c r="D52" i="7"/>
  <c r="L51" i="7"/>
  <c r="D51" i="7"/>
  <c r="L50" i="7"/>
  <c r="D50" i="7"/>
  <c r="L49" i="7"/>
  <c r="D49" i="7"/>
  <c r="L48" i="7"/>
  <c r="D48" i="7"/>
  <c r="L47" i="7"/>
  <c r="D47" i="7"/>
  <c r="L46" i="7"/>
  <c r="D46" i="7"/>
  <c r="L45" i="7"/>
  <c r="D45" i="7"/>
  <c r="L44" i="7"/>
  <c r="D44" i="7"/>
  <c r="L43" i="7"/>
  <c r="D43" i="7"/>
  <c r="L42" i="7"/>
  <c r="D42" i="7"/>
  <c r="L41" i="7"/>
  <c r="D41" i="7"/>
  <c r="L40" i="7"/>
  <c r="D40" i="7"/>
  <c r="L39" i="7"/>
  <c r="D39" i="7"/>
  <c r="L38" i="7"/>
  <c r="D38" i="7"/>
  <c r="L37" i="7"/>
  <c r="D37" i="7"/>
  <c r="L36" i="7"/>
  <c r="D36" i="7"/>
  <c r="L35" i="7"/>
  <c r="D35" i="7"/>
  <c r="T34" i="7"/>
  <c r="W34" i="7" s="1"/>
  <c r="L34" i="7"/>
  <c r="D34" i="7"/>
  <c r="T33" i="7"/>
  <c r="W33" i="7" s="1"/>
  <c r="L33" i="7"/>
  <c r="D33" i="7"/>
  <c r="T32" i="7"/>
  <c r="W32" i="7" s="1"/>
  <c r="L32" i="7"/>
  <c r="D32" i="7"/>
  <c r="T31" i="7"/>
  <c r="L31" i="7"/>
  <c r="D31" i="7"/>
  <c r="T30" i="7"/>
  <c r="L30" i="7"/>
  <c r="D30" i="7"/>
  <c r="T29" i="7"/>
  <c r="L29" i="7"/>
  <c r="D29" i="7"/>
  <c r="T28" i="7"/>
  <c r="L28" i="7"/>
  <c r="D28" i="7"/>
  <c r="T27" i="7"/>
  <c r="L27" i="7"/>
  <c r="D27" i="7"/>
  <c r="T26" i="7"/>
  <c r="L26" i="7"/>
  <c r="D26" i="7"/>
  <c r="T25" i="7"/>
  <c r="L25" i="7"/>
  <c r="D25" i="7"/>
  <c r="T24" i="7"/>
  <c r="L24" i="7"/>
  <c r="D24" i="7"/>
  <c r="T23" i="7"/>
  <c r="L23" i="7"/>
  <c r="D23" i="7"/>
  <c r="T22" i="7"/>
  <c r="L22" i="7"/>
  <c r="D22" i="7"/>
  <c r="T21" i="7"/>
  <c r="L21" i="7"/>
  <c r="D21" i="7"/>
  <c r="T20" i="7"/>
  <c r="L20" i="7"/>
  <c r="D20" i="7"/>
  <c r="T19" i="7"/>
  <c r="L19" i="7"/>
  <c r="D19" i="7"/>
  <c r="T18" i="7"/>
  <c r="L18" i="7"/>
  <c r="D18" i="7"/>
  <c r="T17" i="7"/>
  <c r="L17" i="7"/>
  <c r="D17" i="7"/>
  <c r="T16" i="7"/>
  <c r="L16" i="7"/>
  <c r="D16" i="7"/>
  <c r="T15" i="7"/>
  <c r="L15" i="7"/>
  <c r="D15" i="7"/>
  <c r="T14" i="7"/>
  <c r="L14" i="7"/>
  <c r="D14" i="7"/>
  <c r="T13" i="7"/>
  <c r="L13" i="7"/>
  <c r="D13" i="7"/>
  <c r="T12" i="7"/>
  <c r="L12" i="7"/>
  <c r="D12" i="7"/>
  <c r="T11" i="7"/>
  <c r="L11" i="7"/>
  <c r="D11" i="7"/>
  <c r="T10" i="7"/>
  <c r="L10" i="7"/>
  <c r="D10" i="7"/>
  <c r="T9" i="7"/>
  <c r="L9" i="7"/>
  <c r="D9" i="7"/>
  <c r="T8" i="7"/>
  <c r="L8" i="7"/>
  <c r="D8" i="7"/>
  <c r="T7" i="7"/>
  <c r="L7" i="7"/>
  <c r="P7" i="7" s="1"/>
  <c r="D7" i="7"/>
  <c r="T6" i="7"/>
  <c r="W6" i="7" s="1"/>
  <c r="L6" i="7"/>
  <c r="P6" i="7" s="1"/>
  <c r="D6" i="7"/>
  <c r="T5" i="7"/>
  <c r="W5" i="7" s="1"/>
  <c r="L5" i="7"/>
  <c r="P5" i="7" s="1"/>
  <c r="D5" i="7"/>
  <c r="T4" i="7"/>
  <c r="L4" i="7"/>
  <c r="D4" i="7"/>
  <c r="T3" i="7"/>
  <c r="L3" i="7"/>
  <c r="D3" i="7"/>
  <c r="T2" i="7"/>
  <c r="L2" i="7"/>
  <c r="D2" i="7"/>
  <c r="AC14" i="6"/>
  <c r="AB14" i="6"/>
  <c r="AA14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G83" i="2"/>
  <c r="G74" i="2"/>
  <c r="AB15" i="5"/>
  <c r="AA15" i="5"/>
  <c r="Z15" i="5"/>
  <c r="L46" i="5"/>
  <c r="M46" i="5" s="1"/>
  <c r="L45" i="5"/>
  <c r="M45" i="5" s="1"/>
  <c r="L44" i="5"/>
  <c r="L43" i="5"/>
  <c r="L42" i="5"/>
  <c r="M42" i="5" s="1"/>
  <c r="L41" i="5"/>
  <c r="L40" i="5"/>
  <c r="L39" i="5"/>
  <c r="M39" i="5" s="1"/>
  <c r="L38" i="5"/>
  <c r="L37" i="5"/>
  <c r="L36" i="5"/>
  <c r="M36" i="5" s="1"/>
  <c r="L35" i="5"/>
  <c r="L34" i="5"/>
  <c r="L33" i="5"/>
  <c r="L32" i="5"/>
  <c r="L31" i="5"/>
  <c r="L30" i="5"/>
  <c r="L29" i="5"/>
  <c r="M29" i="5" s="1"/>
  <c r="L28" i="5"/>
  <c r="L27" i="5"/>
  <c r="L26" i="5"/>
  <c r="M26" i="5" s="1"/>
  <c r="L25" i="5"/>
  <c r="L24" i="5"/>
  <c r="L23" i="5"/>
  <c r="L22" i="5"/>
  <c r="L21" i="5"/>
  <c r="M21" i="5" s="1"/>
  <c r="L20" i="5"/>
  <c r="L19" i="5"/>
  <c r="L18" i="5"/>
  <c r="M18" i="5" s="1"/>
  <c r="L17" i="5"/>
  <c r="L16" i="5"/>
  <c r="L15" i="5"/>
  <c r="M15" i="5" s="1"/>
  <c r="L14" i="5"/>
  <c r="L13" i="5"/>
  <c r="L12" i="5"/>
  <c r="M12" i="5" s="1"/>
  <c r="S12" i="5" s="1"/>
  <c r="L11" i="5"/>
  <c r="L10" i="5"/>
  <c r="L9" i="5"/>
  <c r="L8" i="5"/>
  <c r="M8" i="5" s="1"/>
  <c r="L7" i="5"/>
  <c r="G65" i="2"/>
  <c r="G47" i="2"/>
  <c r="AA21" i="4"/>
  <c r="Z21" i="4"/>
  <c r="Y21" i="4"/>
  <c r="L46" i="4"/>
  <c r="M46" i="4" s="1"/>
  <c r="L45" i="4"/>
  <c r="M45" i="4" s="1"/>
  <c r="L44" i="4"/>
  <c r="M44" i="4" s="1"/>
  <c r="L43" i="4"/>
  <c r="M43" i="4" s="1"/>
  <c r="M42" i="4"/>
  <c r="L42" i="4"/>
  <c r="L41" i="4"/>
  <c r="L40" i="4"/>
  <c r="M40" i="4" s="1"/>
  <c r="L39" i="4"/>
  <c r="M39" i="4" s="1"/>
  <c r="L38" i="4"/>
  <c r="M38" i="4" s="1"/>
  <c r="L37" i="4"/>
  <c r="M37" i="4" s="1"/>
  <c r="S37" i="4" s="1"/>
  <c r="L36" i="4"/>
  <c r="M36" i="4" s="1"/>
  <c r="L35" i="4"/>
  <c r="M35" i="4" s="1"/>
  <c r="L34" i="4"/>
  <c r="L33" i="4"/>
  <c r="M33" i="4" s="1"/>
  <c r="L32" i="4"/>
  <c r="M32" i="4" s="1"/>
  <c r="L31" i="4"/>
  <c r="L30" i="4"/>
  <c r="M30" i="4" s="1"/>
  <c r="L29" i="4"/>
  <c r="M29" i="4" s="1"/>
  <c r="L28" i="4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L20" i="4"/>
  <c r="M20" i="4" s="1"/>
  <c r="L19" i="4"/>
  <c r="M19" i="4" s="1"/>
  <c r="L18" i="4"/>
  <c r="L17" i="4"/>
  <c r="M17" i="4" s="1"/>
  <c r="L16" i="4"/>
  <c r="M16" i="4" s="1"/>
  <c r="L15" i="4"/>
  <c r="L14" i="4"/>
  <c r="M14" i="4" s="1"/>
  <c r="L13" i="4"/>
  <c r="M13" i="4" s="1"/>
  <c r="L12" i="4"/>
  <c r="L11" i="4"/>
  <c r="M11" i="4" s="1"/>
  <c r="S11" i="4" s="1"/>
  <c r="L10" i="4"/>
  <c r="M10" i="4" s="1"/>
  <c r="L9" i="4"/>
  <c r="M9" i="4" s="1"/>
  <c r="L8" i="4"/>
  <c r="L7" i="4"/>
  <c r="M7" i="4" s="1"/>
  <c r="G31" i="2"/>
  <c r="G21" i="2"/>
  <c r="Z15" i="3"/>
  <c r="Z28" i="3" s="1"/>
  <c r="Y15" i="3"/>
  <c r="Y34" i="3" s="1"/>
  <c r="X15" i="3"/>
  <c r="X33" i="3" s="1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Y33" i="3" l="1"/>
  <c r="Y26" i="3"/>
  <c r="Z34" i="3"/>
  <c r="D68" i="7"/>
  <c r="C68" i="7"/>
  <c r="E68" i="7" s="1"/>
  <c r="F68" i="7" s="1"/>
  <c r="H7" i="7"/>
  <c r="G68" i="7" s="1"/>
  <c r="H68" i="7" s="1"/>
  <c r="H5" i="7"/>
  <c r="G66" i="7" s="1"/>
  <c r="H66" i="7" s="1"/>
  <c r="D66" i="7"/>
  <c r="C66" i="7"/>
  <c r="E66" i="7" s="1"/>
  <c r="F66" i="7" s="1"/>
  <c r="Z27" i="3"/>
  <c r="C67" i="7"/>
  <c r="E67" i="7" s="1"/>
  <c r="F67" i="7" s="1"/>
  <c r="H6" i="7"/>
  <c r="G67" i="7" s="1"/>
  <c r="H67" i="7" s="1"/>
  <c r="D67" i="7"/>
  <c r="N31" i="6"/>
  <c r="N37" i="6"/>
  <c r="N44" i="6"/>
  <c r="N13" i="6"/>
  <c r="N35" i="6"/>
  <c r="N10" i="6"/>
  <c r="N12" i="6"/>
  <c r="N21" i="6"/>
  <c r="N25" i="6"/>
  <c r="N33" i="6"/>
  <c r="T37" i="6"/>
  <c r="T41" i="6"/>
  <c r="T45" i="6"/>
  <c r="T42" i="6"/>
  <c r="T38" i="6"/>
  <c r="T46" i="6"/>
  <c r="M44" i="5"/>
  <c r="M25" i="5"/>
  <c r="M10" i="5"/>
  <c r="M13" i="5"/>
  <c r="M20" i="5"/>
  <c r="M23" i="5"/>
  <c r="M27" i="5"/>
  <c r="M30" i="5"/>
  <c r="M33" i="5"/>
  <c r="M40" i="5"/>
  <c r="M43" i="5"/>
  <c r="M7" i="5"/>
  <c r="M11" i="5"/>
  <c r="M14" i="5"/>
  <c r="M17" i="5"/>
  <c r="M24" i="5"/>
  <c r="M28" i="5"/>
  <c r="M31" i="5"/>
  <c r="M34" i="5"/>
  <c r="M37" i="5"/>
  <c r="S37" i="5" s="1"/>
  <c r="M41" i="5"/>
  <c r="S41" i="5" s="1"/>
  <c r="M9" i="5"/>
  <c r="M16" i="5"/>
  <c r="M19" i="5"/>
  <c r="M22" i="5"/>
  <c r="M32" i="5"/>
  <c r="M35" i="5"/>
  <c r="M38" i="5"/>
  <c r="M8" i="4"/>
  <c r="M12" i="4"/>
  <c r="S12" i="4" s="1"/>
  <c r="M15" i="4"/>
  <c r="M18" i="4"/>
  <c r="M21" i="4"/>
  <c r="M28" i="4"/>
  <c r="M31" i="4"/>
  <c r="M34" i="4"/>
  <c r="M41" i="4"/>
  <c r="S41" i="4" s="1"/>
  <c r="S38" i="5"/>
  <c r="S42" i="5"/>
  <c r="S45" i="5"/>
  <c r="S11" i="5"/>
  <c r="T11" i="5" s="1"/>
  <c r="S46" i="5"/>
  <c r="S38" i="4"/>
  <c r="T37" i="4" s="1"/>
  <c r="S42" i="4"/>
  <c r="S45" i="4"/>
  <c r="T11" i="4"/>
  <c r="S46" i="4"/>
  <c r="S13" i="3"/>
  <c r="S43" i="3"/>
  <c r="S37" i="3"/>
  <c r="S34" i="3"/>
  <c r="S35" i="3"/>
  <c r="S14" i="3"/>
  <c r="S36" i="3"/>
  <c r="S42" i="3"/>
  <c r="T42" i="3" s="1"/>
  <c r="Z26" i="3"/>
  <c r="X28" i="3"/>
  <c r="Y32" i="3"/>
  <c r="Z33" i="3"/>
  <c r="X27" i="3"/>
  <c r="Y28" i="3"/>
  <c r="Z32" i="3"/>
  <c r="X34" i="3"/>
  <c r="X32" i="3"/>
  <c r="X26" i="3"/>
  <c r="Y27" i="3"/>
  <c r="T12" i="3" l="1"/>
  <c r="T37" i="5"/>
  <c r="T41" i="5"/>
  <c r="T41" i="4"/>
  <c r="N46" i="6"/>
  <c r="N40" i="6"/>
  <c r="N38" i="6"/>
  <c r="N30" i="6"/>
  <c r="N22" i="6"/>
  <c r="N14" i="6"/>
  <c r="N11" i="6"/>
  <c r="N41" i="6"/>
  <c r="N24" i="6"/>
  <c r="N18" i="6"/>
  <c r="N20" i="6"/>
  <c r="N7" i="6"/>
  <c r="N32" i="6"/>
  <c r="N26" i="6"/>
  <c r="N16" i="6"/>
  <c r="N9" i="6"/>
  <c r="N34" i="6"/>
  <c r="N28" i="6"/>
  <c r="N39" i="6"/>
  <c r="N36" i="6"/>
  <c r="N15" i="6"/>
  <c r="N17" i="6"/>
  <c r="N45" i="6"/>
  <c r="N29" i="6"/>
  <c r="N19" i="6"/>
  <c r="N8" i="6"/>
  <c r="N43" i="6"/>
  <c r="N27" i="6"/>
  <c r="N42" i="6"/>
  <c r="N23" i="6"/>
  <c r="U45" i="6"/>
  <c r="U37" i="6"/>
  <c r="U41" i="6"/>
  <c r="T45" i="5"/>
  <c r="T45" i="4"/>
  <c r="T36" i="3"/>
  <c r="T34" i="3"/>
</calcChain>
</file>

<file path=xl/sharedStrings.xml><?xml version="1.0" encoding="utf-8"?>
<sst xmlns="http://schemas.openxmlformats.org/spreadsheetml/2006/main" count="1380" uniqueCount="348">
  <si>
    <t>Sample ID</t>
  </si>
  <si>
    <t>MeHg (ng/g)</t>
  </si>
  <si>
    <t xml:space="preserve">Analysis date </t>
  </si>
  <si>
    <t xml:space="preserve">Collection Date </t>
  </si>
  <si>
    <t>Site</t>
  </si>
  <si>
    <t>STBRiff10</t>
  </si>
  <si>
    <t>3.8% difference</t>
  </si>
  <si>
    <t>64 Odonates Rep. 1</t>
  </si>
  <si>
    <t>STB Riff 10</t>
  </si>
  <si>
    <t>64 Odonates</t>
  </si>
  <si>
    <t xml:space="preserve">2 Odonates </t>
  </si>
  <si>
    <t xml:space="preserve">1 Odonates </t>
  </si>
  <si>
    <t>0.5% difference</t>
  </si>
  <si>
    <t>52 Odonates Rep. 1</t>
  </si>
  <si>
    <t>STB Riff 1</t>
  </si>
  <si>
    <t>65 Odonates Rep. 2</t>
  </si>
  <si>
    <t>61 Odonates Rep. 1</t>
  </si>
  <si>
    <t>Ells Riff 2</t>
  </si>
  <si>
    <t>62 Odonates Rep. 2</t>
  </si>
  <si>
    <t>63 Odonates Rep. 3</t>
  </si>
  <si>
    <t>53 Odonates Rep. 1</t>
  </si>
  <si>
    <t>57 Plecoptera Rep. 1</t>
  </si>
  <si>
    <t>Ells Riff 4</t>
  </si>
  <si>
    <t>40 Odonates Rep. 1</t>
  </si>
  <si>
    <t>41 Odonates Rep. 2</t>
  </si>
  <si>
    <t>42 Odonates Rep. 3</t>
  </si>
  <si>
    <t>73 Plecoptera Rep. 1</t>
  </si>
  <si>
    <t>Ells Riff 5</t>
  </si>
  <si>
    <t>16 Odonates Rep. 1</t>
  </si>
  <si>
    <t>STBWSC</t>
  </si>
  <si>
    <t>17 Odonates Rep. 2</t>
  </si>
  <si>
    <t>18 Odonates Rep. 3</t>
  </si>
  <si>
    <t>DIGESTION DATE:</t>
  </si>
  <si>
    <t>DIGESTION DATA</t>
  </si>
  <si>
    <t>Digestion Vial</t>
  </si>
  <si>
    <t xml:space="preserve">bottle id </t>
  </si>
  <si>
    <t>Sample Date</t>
  </si>
  <si>
    <t>Empty Vial</t>
  </si>
  <si>
    <t>Tissue</t>
  </si>
  <si>
    <t>Full Vial</t>
  </si>
  <si>
    <t xml:space="preserve">Amount of </t>
  </si>
  <si>
    <t>Analysis Date</t>
  </si>
  <si>
    <t xml:space="preserve">Peak Area </t>
  </si>
  <si>
    <t>Total</t>
  </si>
  <si>
    <t>Number</t>
  </si>
  <si>
    <t>Weight</t>
  </si>
  <si>
    <t>Weight w/ acid</t>
  </si>
  <si>
    <t>Weight post Digestion</t>
  </si>
  <si>
    <t>Sample Added</t>
  </si>
  <si>
    <t>Peak</t>
  </si>
  <si>
    <t xml:space="preserve">Corrected For </t>
  </si>
  <si>
    <t>ng MeHg in</t>
  </si>
  <si>
    <t>ng MeHg blank</t>
  </si>
  <si>
    <t>MeHg</t>
  </si>
  <si>
    <t>Spike recovery</t>
  </si>
  <si>
    <t>Water Corrected</t>
  </si>
  <si>
    <t>Average</t>
  </si>
  <si>
    <t xml:space="preserve">Certified Value </t>
  </si>
  <si>
    <t>(g)</t>
  </si>
  <si>
    <t>Height</t>
  </si>
  <si>
    <t>Digestion Volume</t>
  </si>
  <si>
    <t>ng MeHg</t>
  </si>
  <si>
    <t>digestion</t>
  </si>
  <si>
    <t>corrected</t>
  </si>
  <si>
    <t>ng/g</t>
  </si>
  <si>
    <t>%</t>
  </si>
  <si>
    <t>SRMs</t>
  </si>
  <si>
    <t>SRM</t>
  </si>
  <si>
    <t xml:space="preserve">SRM </t>
  </si>
  <si>
    <t>acid blank</t>
  </si>
  <si>
    <t>n/a</t>
  </si>
  <si>
    <t xml:space="preserve">acid blank with spike </t>
  </si>
  <si>
    <t>TORT-2</t>
  </si>
  <si>
    <t>152 +/-13</t>
  </si>
  <si>
    <t>1 Odonates Rep. 1</t>
  </si>
  <si>
    <t>2 Odonates Rep. 2</t>
  </si>
  <si>
    <t>11CARAPL11</t>
  </si>
  <si>
    <t>Last year's samples</t>
  </si>
  <si>
    <t>11CARAPL05</t>
  </si>
  <si>
    <t>11CARAPL11+spike</t>
  </si>
  <si>
    <t>11CARAPL05+spike</t>
  </si>
  <si>
    <t>Mussel</t>
  </si>
  <si>
    <t>28.09+/-0.31</t>
  </si>
  <si>
    <t>Mussel+spike</t>
  </si>
  <si>
    <t>Digestion Reagent</t>
  </si>
  <si>
    <t>Type</t>
  </si>
  <si>
    <t>Quantity (mL)</t>
  </si>
  <si>
    <t>Brooks Rand MeHgCl conc. (mg/L)</t>
  </si>
  <si>
    <t>Brooks Rand MeHgOH conc. (mg/L)</t>
  </si>
  <si>
    <t>Average spike Recovery (%)</t>
  </si>
  <si>
    <t>30% Nitric acid</t>
  </si>
  <si>
    <t>ANALYSIS DATE:</t>
  </si>
  <si>
    <t>Standard</t>
  </si>
  <si>
    <t>Curve 1</t>
  </si>
  <si>
    <t>Curve 2</t>
  </si>
  <si>
    <t>Curve 1 Brooks Rand 12March2009</t>
  </si>
  <si>
    <t>Time of Day</t>
  </si>
  <si>
    <t>pg</t>
  </si>
  <si>
    <t>Initial calibration verification</t>
  </si>
  <si>
    <t>Continuing calibration verification</t>
  </si>
  <si>
    <t>MeHgCl</t>
  </si>
  <si>
    <t>MeHgOH</t>
  </si>
  <si>
    <t>CalBlank</t>
  </si>
  <si>
    <t>AM</t>
  </si>
  <si>
    <t>PM</t>
  </si>
  <si>
    <t>0-500 pg</t>
  </si>
  <si>
    <t>slope</t>
  </si>
  <si>
    <t>Note:</t>
  </si>
  <si>
    <t>Calblank 0.5%</t>
  </si>
  <si>
    <t>removed value "71306" at 200 pg MeHg</t>
  </si>
  <si>
    <t>y-int</t>
  </si>
  <si>
    <t>of curve as an outlier</t>
  </si>
  <si>
    <t>0-20 pg</t>
  </si>
  <si>
    <t>replaced value "17039" at 50 pg MeHg</t>
  </si>
  <si>
    <t>of curve with 50 pg MeHg value "16572"</t>
  </si>
  <si>
    <t>from calibration verification</t>
  </si>
  <si>
    <t xml:space="preserve">duplicate </t>
  </si>
  <si>
    <t xml:space="preserve">52 Odonates </t>
  </si>
  <si>
    <t xml:space="preserve">65 Odonates </t>
  </si>
  <si>
    <t>Species</t>
  </si>
  <si>
    <t xml:space="preserve">Odonates </t>
  </si>
  <si>
    <t>Sample #</t>
  </si>
  <si>
    <t xml:space="preserve">57 Plecoptera </t>
  </si>
  <si>
    <t>Plecoptera</t>
  </si>
  <si>
    <t>61 Odonates</t>
  </si>
  <si>
    <t>62 Odonates</t>
  </si>
  <si>
    <t xml:space="preserve">63 Odonates </t>
  </si>
  <si>
    <t xml:space="preserve">53 Odonates </t>
  </si>
  <si>
    <t xml:space="preserve">40 Odonates </t>
  </si>
  <si>
    <t xml:space="preserve">41 Odonates </t>
  </si>
  <si>
    <t xml:space="preserve">42 Odonates </t>
  </si>
  <si>
    <t xml:space="preserve">73 Plecoptera </t>
  </si>
  <si>
    <t xml:space="preserve">16 Odonates </t>
  </si>
  <si>
    <t xml:space="preserve">17 Odonates </t>
  </si>
  <si>
    <t xml:space="preserve">18 Odonates </t>
  </si>
  <si>
    <t>36 Plecoptera Rep. 1</t>
  </si>
  <si>
    <t xml:space="preserve">36 Plecoptera </t>
  </si>
  <si>
    <t>37 Plecoptera Rep. 2</t>
  </si>
  <si>
    <t xml:space="preserve">37 Plecoptera </t>
  </si>
  <si>
    <t>38 Plecoptera Rep. 3</t>
  </si>
  <si>
    <t>21 Odonates Rep. 1</t>
  </si>
  <si>
    <t>STB Riff 7</t>
  </si>
  <si>
    <t>22 Odonates Rep. 2</t>
  </si>
  <si>
    <t>23 Odonates Rep. 3</t>
  </si>
  <si>
    <t>25 Odonates Rep. 1</t>
  </si>
  <si>
    <t>26 Odonates Rep. 2</t>
  </si>
  <si>
    <t>27 Odonates Rep. 3</t>
  </si>
  <si>
    <t>28 Plecoptera Rep. 1</t>
  </si>
  <si>
    <t>97 Plecoptera Rep. 1</t>
  </si>
  <si>
    <t>98 Plecoptera Rep. 2</t>
  </si>
  <si>
    <t>99 Plecoptera Rep. 3</t>
  </si>
  <si>
    <t>84 Plecoptera Rep. 1</t>
  </si>
  <si>
    <t>85 Plecoptera Rep. 2</t>
  </si>
  <si>
    <t>86 Plecoptera Rep. 3</t>
  </si>
  <si>
    <t>49 Odonates Rep. 1</t>
  </si>
  <si>
    <t>50 Odonates Rep. 2</t>
  </si>
  <si>
    <t>51 Odonates Rep. 3</t>
  </si>
  <si>
    <t>54 Odonates Rep. 1</t>
  </si>
  <si>
    <t>55 Odonates Rep. 2</t>
  </si>
  <si>
    <t>56 Odonates Rep. 3</t>
  </si>
  <si>
    <t>1.6% difference</t>
  </si>
  <si>
    <t>5.3% difference</t>
  </si>
  <si>
    <t>duplicate</t>
  </si>
  <si>
    <t>2% difference</t>
  </si>
  <si>
    <t>5% difference</t>
  </si>
  <si>
    <t>11CARAPL12</t>
  </si>
  <si>
    <t>11CARAPL12+spike</t>
  </si>
  <si>
    <t>11CARAPL06</t>
  </si>
  <si>
    <t>11CARAPL06+spike</t>
  </si>
  <si>
    <t>removed value "64588" at 200 pg MeHg</t>
  </si>
  <si>
    <t>74 Odonates Rep. 1</t>
  </si>
  <si>
    <t>75 Odonates Rep. 2</t>
  </si>
  <si>
    <t>76 Odonates Rep. 3</t>
  </si>
  <si>
    <t>77 Odonates Rep. 4</t>
  </si>
  <si>
    <t>78 Odonates Rep. 5</t>
  </si>
  <si>
    <t>79 Odonates Rep. 6</t>
  </si>
  <si>
    <t>80 Odonates Rep. 7</t>
  </si>
  <si>
    <t>66 Odonates Rep. 1</t>
  </si>
  <si>
    <t>67 Odonates Rep. 2</t>
  </si>
  <si>
    <t>68 Odonates Rep. 3</t>
  </si>
  <si>
    <t>69 Odonates Rep. 4</t>
  </si>
  <si>
    <t>70 Odonates Rep. 5</t>
  </si>
  <si>
    <t>71 Odonates Rep. 6</t>
  </si>
  <si>
    <t>72 Odonates Rep. 7</t>
  </si>
  <si>
    <t>3 Plecoptera Rep. 1</t>
  </si>
  <si>
    <t>4 Plecoptera Rep. 2</t>
  </si>
  <si>
    <t>43 Odonates Rep. 1</t>
  </si>
  <si>
    <t>44 Odonates Rep. 2</t>
  </si>
  <si>
    <t>45 Odonates Rep. 3</t>
  </si>
  <si>
    <t>46 Odonates Rep. 4</t>
  </si>
  <si>
    <t>29 Odonates Rep. 1</t>
  </si>
  <si>
    <t>30 Odonates Rep. 2</t>
  </si>
  <si>
    <t>13.6% difference</t>
  </si>
  <si>
    <t>3.1% difference</t>
  </si>
  <si>
    <t>14% difference</t>
  </si>
  <si>
    <t>3% difference</t>
  </si>
  <si>
    <t>11CARAPL04</t>
  </si>
  <si>
    <t>11CARAPL04+spike</t>
  </si>
  <si>
    <t>replaced value "1808" at 5 pg MeHg</t>
  </si>
  <si>
    <t>of curve with 5 pg MeHg value "1647"</t>
  </si>
  <si>
    <t>removed value "69937" at 200 pg MeHg</t>
  </si>
  <si>
    <t>replaced value "16665" at 50 pg MeHg</t>
  </si>
  <si>
    <t>of curve with 50 pg MeHg value "15817"</t>
  </si>
  <si>
    <t>5 Odonates Rep. 1</t>
  </si>
  <si>
    <t>6 Odonates Rep. 2</t>
  </si>
  <si>
    <t>7 Odonates Rep. 3</t>
  </si>
  <si>
    <t>8 Odonates Rep. 4</t>
  </si>
  <si>
    <t>10 Odonates Rep. 6</t>
  </si>
  <si>
    <t>11 Odonates Rep. 7</t>
  </si>
  <si>
    <t>9 Odonates Rep. 5</t>
  </si>
  <si>
    <t>31 Odonates Rep. 3</t>
  </si>
  <si>
    <t>32 Odonates Rep. 4</t>
  </si>
  <si>
    <t>33 Odonates Rep. 5</t>
  </si>
  <si>
    <t>87 Odonates Rep. 1</t>
  </si>
  <si>
    <t>88 Odonates Rep. 2</t>
  </si>
  <si>
    <t>89 Odonates Rep. 3</t>
  </si>
  <si>
    <t>90 Odonates Rep. 4</t>
  </si>
  <si>
    <t>91 Odonates Rep. 5</t>
  </si>
  <si>
    <t>92 Odonates Rep. 6</t>
  </si>
  <si>
    <t>93 Odonates Rep. 7</t>
  </si>
  <si>
    <t>3.2% difference</t>
  </si>
  <si>
    <t>Notes</t>
  </si>
  <si>
    <t>sample not ground</t>
  </si>
  <si>
    <t>0.05% difference</t>
  </si>
  <si>
    <t>Dragonfly [THg+MeHg]</t>
  </si>
  <si>
    <t>removed value "62027" at 200 pg MeHg</t>
  </si>
  <si>
    <t>THg (ng/g)</t>
  </si>
  <si>
    <t>Name</t>
  </si>
  <si>
    <t>Hg [ng]</t>
  </si>
  <si>
    <t>R (mg/kg)</t>
  </si>
  <si>
    <t>R (ng/g)</t>
  </si>
  <si>
    <t>Certified Value (ng/g)</t>
  </si>
  <si>
    <t>Height Peak</t>
  </si>
  <si>
    <t>blank</t>
  </si>
  <si>
    <t>mussel 2976</t>
  </si>
  <si>
    <t>61 ± 3.6</t>
  </si>
  <si>
    <t>mussel 2977</t>
  </si>
  <si>
    <t>mess-3 NRCC</t>
  </si>
  <si>
    <t>91 ± 9</t>
  </si>
  <si>
    <t>tort-2 NRCC</t>
  </si>
  <si>
    <t>270 ± 60</t>
  </si>
  <si>
    <t>STBRiff10 3 Plecoptera Rep.1</t>
  </si>
  <si>
    <t>STBWSC 12 Odonates Rep.1</t>
  </si>
  <si>
    <t>STBRiff10 4 Plecoptera Rep.2</t>
  </si>
  <si>
    <t>STBWSC 13 Odonates Rep.2</t>
  </si>
  <si>
    <t>EllsRiff2 5 Odonates Rep.1</t>
  </si>
  <si>
    <t>STBWSC 14 Odonates Rep.3</t>
  </si>
  <si>
    <t>EllsRiff2 6 Odonates Rep.2</t>
  </si>
  <si>
    <t>STBWSC 15 Odonates Rep.4</t>
  </si>
  <si>
    <t>EllsRiff2 7 Odonates Rep.3</t>
  </si>
  <si>
    <t>STBRiff7 19 Odonates Rep.1</t>
  </si>
  <si>
    <t>EllsRiff2 8 Odonates Rep.4</t>
  </si>
  <si>
    <t>STBRiff7 20 Odonates Rep.2</t>
  </si>
  <si>
    <t>EllsRiff2 9 Odonates Rep.5</t>
  </si>
  <si>
    <t>STBRiff10 24 Odonates Rep.1</t>
  </si>
  <si>
    <t>EllsRiff2 10 Odonates Rep.6</t>
  </si>
  <si>
    <t>EllsRiff2 34 Plecoptera Rep.1</t>
  </si>
  <si>
    <t>EllsRiff2 11 Odonates Rep.7</t>
  </si>
  <si>
    <t>EllsRiff2 35 Plecoptera Rep. 2</t>
  </si>
  <si>
    <t>EllsRiff2 29 Odonates Rep.1</t>
  </si>
  <si>
    <t>EllsRiff4 39 Odonates Rep.1</t>
  </si>
  <si>
    <t>EllsRiff2 30 Odonates Rep.2</t>
  </si>
  <si>
    <t>EllsRiff4 47 Odonates Rep. 1</t>
  </si>
  <si>
    <t>EllsRiff2 31 Odonates Rep.3</t>
  </si>
  <si>
    <t>EllsRiff4 48 Odonates Rep.2</t>
  </si>
  <si>
    <t>EllsRiff2 32 Odonates Rep.4</t>
  </si>
  <si>
    <t>EllsRiff2 58 Odonates Rep.1</t>
  </si>
  <si>
    <t>EllsRiff2 33 Odonates Rep.5</t>
  </si>
  <si>
    <t>EllsRiff2 59 Odonates Rep.2</t>
  </si>
  <si>
    <t>EllsRiff4 43 Odonates Rep.1</t>
  </si>
  <si>
    <t>EllsRiff2 60 Odonates Rep.3</t>
  </si>
  <si>
    <t>EllsRiff4 44 Odonates Rep.2</t>
  </si>
  <si>
    <t>EllsRiff5 81 Plecoptera Rep.1</t>
  </si>
  <si>
    <t>EllsRiff4 45 Odonates Rep.3</t>
  </si>
  <si>
    <t>EllsRiff5 82 Plecoptera Rep.2</t>
  </si>
  <si>
    <t>EllsRiff4 46 Odonates Rep.4</t>
  </si>
  <si>
    <t>EllsRiff5 83 Plecoptera Rep.3</t>
  </si>
  <si>
    <t>EllsRiff4 54 Odonates Rep.1</t>
  </si>
  <si>
    <t>EllsRiff5 94 Plecoptera Rep.1</t>
  </si>
  <si>
    <t>EllsRiff4 55 Odonates Rep.2</t>
  </si>
  <si>
    <t xml:space="preserve"> EllsRiff5 95 Plecoptera Rep.2</t>
  </si>
  <si>
    <t>EllsRiff4 56 Odonates Rep.3</t>
  </si>
  <si>
    <t>EllsRiff5 96 Plecoptera Rep.3</t>
  </si>
  <si>
    <t>EllsRiff5 66 Odonates Rep.1</t>
  </si>
  <si>
    <t>EllsRiff5 67 Odonates Rep.2</t>
  </si>
  <si>
    <t>EllsRiff5 68 Odonates Rep.3</t>
  </si>
  <si>
    <t>EllsRiff5 69 Odonates Rep.4</t>
  </si>
  <si>
    <t>EllsRiff5 70 Odonates Rep.5</t>
  </si>
  <si>
    <t>EllsRiff5 71 Odonates Rep.6</t>
  </si>
  <si>
    <t>EllsRiff5 72 Odonates Rep.7</t>
  </si>
  <si>
    <t>EllsRiff5 74 Odonates Rep.1</t>
  </si>
  <si>
    <t>EllsRiff5 75 Odonates Rep.2</t>
  </si>
  <si>
    <t>EllsRiff5 76 Odonates Rep.3</t>
  </si>
  <si>
    <t>EllsRiff5 77 Odonates Rep.4</t>
  </si>
  <si>
    <t>EllsRiff5 78 Odonates Rep.5</t>
  </si>
  <si>
    <t>EllsRiff5 79 Odonates Rep.6</t>
  </si>
  <si>
    <t>EllsRiff5 80 Odonates Rep.7</t>
  </si>
  <si>
    <t>EllsRiff5 87 Odonates Rep.1</t>
  </si>
  <si>
    <t>EllsRiff5 88 Odonates Rep.2</t>
  </si>
  <si>
    <t>EllsRiff5 89 Odonates Rep.3</t>
  </si>
  <si>
    <t>EllsRiff5 90 Odonates Rep.4</t>
  </si>
  <si>
    <t>EllsRiff5 91 Odonates Rep.5</t>
  </si>
  <si>
    <t>EllsRiff5 92 Odonates Rep.6</t>
  </si>
  <si>
    <t>EllsRiff5 93 Odonates Rep.7</t>
  </si>
  <si>
    <t>mean blank</t>
  </si>
  <si>
    <t>std</t>
  </si>
  <si>
    <t>std x 3</t>
  </si>
  <si>
    <t>srm name</t>
  </si>
  <si>
    <t>values</t>
  </si>
  <si>
    <t>mean</t>
  </si>
  <si>
    <t>sd</t>
  </si>
  <si>
    <t>recovery</t>
  </si>
  <si>
    <t xml:space="preserve">% </t>
  </si>
  <si>
    <t>SD</t>
  </si>
  <si>
    <t>Tort-2</t>
  </si>
  <si>
    <t>certified mean</t>
  </si>
  <si>
    <t>ratio</t>
  </si>
  <si>
    <t xml:space="preserve">MDLs = </t>
  </si>
  <si>
    <t>SRM Name</t>
  </si>
  <si>
    <t>certified value mean (ng/g)</t>
  </si>
  <si>
    <t>measured mean</t>
  </si>
  <si>
    <t>Recovery</t>
  </si>
  <si>
    <t>mussel</t>
  </si>
  <si>
    <t>mess-3</t>
  </si>
  <si>
    <t>tort-2</t>
  </si>
  <si>
    <t>% recovery</t>
  </si>
  <si>
    <t>%recovery</t>
  </si>
  <si>
    <t>Weight (g)</t>
  </si>
  <si>
    <t>2012 Site Name</t>
  </si>
  <si>
    <t>2013 Site Name</t>
  </si>
  <si>
    <t>Latitude</t>
  </si>
  <si>
    <t>Longitude</t>
  </si>
  <si>
    <t>ELLS RIFF 4</t>
  </si>
  <si>
    <t>EL1</t>
  </si>
  <si>
    <t>ELLS RIFF 2</t>
  </si>
  <si>
    <t>EL2</t>
  </si>
  <si>
    <t>ELLS RIFF 5</t>
  </si>
  <si>
    <t>EL3</t>
  </si>
  <si>
    <t>ELLS RIFF 9</t>
  </si>
  <si>
    <t>EL4</t>
  </si>
  <si>
    <t>STB RIFF 1</t>
  </si>
  <si>
    <t>ST1</t>
  </si>
  <si>
    <t>STB WSC</t>
  </si>
  <si>
    <t>ST2</t>
  </si>
  <si>
    <t>STB RIFF 7</t>
  </si>
  <si>
    <t>ST3B</t>
  </si>
  <si>
    <t>STB RIFF 10</t>
  </si>
  <si>
    <t>ST4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</si>
</sst>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[$-1009]d\-mmm\-yy;@"/>
    <numFmt numFmtId="167" formatCode="0.0000"/>
  </numFmts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45" xfId="0" applyFont="1" applyFill="1" applyBorder="1" applyAlignment="1" applyProtection="1">
      <alignment horizontal="center"/>
      <protection locked="0"/>
    </xf>
    <xf numFmtId="15" fontId="5" fillId="0" borderId="45" xfId="0" applyNumberFormat="1" applyFont="1" applyFill="1" applyBorder="1" applyAlignment="1" applyProtection="1">
      <alignment horizontal="center"/>
      <protection locked="0"/>
    </xf>
    <xf numFmtId="2" fontId="2" fillId="0" borderId="45" xfId="0" applyNumberFormat="1" applyFont="1" applyBorder="1" applyAlignment="1">
      <alignment horizontal="center"/>
    </xf>
    <xf numFmtId="0" fontId="5" fillId="2" borderId="45" xfId="0" applyFont="1" applyFill="1" applyBorder="1" applyAlignment="1" applyProtection="1">
      <alignment horizontal="center"/>
      <protection locked="0"/>
    </xf>
    <xf numFmtId="15" fontId="5" fillId="2" borderId="45" xfId="0" applyNumberFormat="1" applyFont="1" applyFill="1" applyBorder="1" applyAlignment="1" applyProtection="1">
      <alignment horizontal="center"/>
      <protection locked="0"/>
    </xf>
    <xf numFmtId="0" fontId="2" fillId="0" borderId="45" xfId="0" applyFont="1" applyBorder="1" applyAlignment="1">
      <alignment horizontal="center"/>
    </xf>
    <xf numFmtId="15" fontId="2" fillId="0" borderId="4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/>
    <xf numFmtId="0" fontId="7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2" fillId="0" borderId="0" xfId="0" applyNumberFormat="1" applyFont="1"/>
    <xf numFmtId="0" fontId="4" fillId="3" borderId="3" xfId="0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0" fontId="5" fillId="0" borderId="0" xfId="0" applyFont="1" applyFill="1" applyBorder="1"/>
    <xf numFmtId="2" fontId="4" fillId="0" borderId="0" xfId="0" applyNumberFormat="1" applyFont="1" applyFill="1" applyBorder="1" applyAlignment="1">
      <alignment horizontal="right"/>
    </xf>
    <xf numFmtId="164" fontId="5" fillId="0" borderId="0" xfId="0" applyNumberFormat="1" applyFont="1"/>
    <xf numFmtId="2" fontId="5" fillId="0" borderId="0" xfId="0" applyNumberFormat="1" applyFont="1"/>
    <xf numFmtId="0" fontId="4" fillId="0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0" borderId="0" xfId="0" applyFont="1" applyAlignment="1"/>
    <xf numFmtId="164" fontId="5" fillId="0" borderId="0" xfId="0" applyNumberFormat="1" applyFont="1" applyAlignment="1"/>
    <xf numFmtId="2" fontId="5" fillId="0" borderId="0" xfId="0" applyNumberFormat="1" applyFont="1" applyAlignment="1"/>
    <xf numFmtId="0" fontId="2" fillId="0" borderId="0" xfId="0" applyFont="1" applyAlignment="1"/>
    <xf numFmtId="0" fontId="4" fillId="0" borderId="29" xfId="0" applyFont="1" applyBorder="1" applyAlignment="1">
      <alignment horizontal="center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9" fontId="2" fillId="0" borderId="26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164" fontId="4" fillId="0" borderId="19" xfId="0" applyNumberFormat="1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167" fontId="5" fillId="0" borderId="26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5" fontId="5" fillId="0" borderId="1" xfId="0" applyNumberFormat="1" applyFont="1" applyFill="1" applyBorder="1" applyAlignment="1">
      <alignment horizontal="center"/>
    </xf>
    <xf numFmtId="164" fontId="5" fillId="0" borderId="27" xfId="0" applyNumberFormat="1" applyFont="1" applyFill="1" applyBorder="1" applyAlignment="1" applyProtection="1">
      <alignment horizontal="center"/>
      <protection locked="0"/>
    </xf>
    <xf numFmtId="2" fontId="5" fillId="0" borderId="28" xfId="0" applyNumberFormat="1" applyFont="1" applyBorder="1"/>
    <xf numFmtId="0" fontId="5" fillId="0" borderId="26" xfId="0" applyFont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4" fillId="0" borderId="0" xfId="0" applyFont="1"/>
    <xf numFmtId="15" fontId="4" fillId="0" borderId="0" xfId="0" applyNumberFormat="1" applyFont="1"/>
    <xf numFmtId="15" fontId="4" fillId="0" borderId="0" xfId="0" applyNumberFormat="1" applyFont="1" applyAlignment="1">
      <alignment horizontal="center"/>
    </xf>
    <xf numFmtId="0" fontId="5" fillId="0" borderId="0" xfId="0" applyFont="1" applyFill="1"/>
    <xf numFmtId="167" fontId="5" fillId="0" borderId="26" xfId="0" applyNumberFormat="1" applyFont="1" applyFill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15" fontId="5" fillId="0" borderId="0" xfId="0" applyNumberFormat="1" applyFont="1"/>
    <xf numFmtId="1" fontId="5" fillId="0" borderId="0" xfId="0" applyNumberFormat="1" applyFont="1" applyBorder="1" applyAlignment="1" applyProtection="1">
      <alignment horizontal="center"/>
      <protection locked="0"/>
    </xf>
    <xf numFmtId="1" fontId="5" fillId="0" borderId="37" xfId="0" applyNumberFormat="1" applyFont="1" applyBorder="1" applyAlignment="1" applyProtection="1">
      <alignment horizontal="center"/>
      <protection locked="0"/>
    </xf>
    <xf numFmtId="0" fontId="5" fillId="0" borderId="37" xfId="0" applyFont="1" applyFill="1" applyBorder="1"/>
    <xf numFmtId="0" fontId="5" fillId="0" borderId="37" xfId="0" applyFont="1" applyBorder="1"/>
    <xf numFmtId="14" fontId="4" fillId="0" borderId="38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" fontId="4" fillId="0" borderId="39" xfId="0" applyNumberFormat="1" applyFont="1" applyFill="1" applyBorder="1" applyAlignment="1">
      <alignment horizontal="center"/>
    </xf>
    <xf numFmtId="1" fontId="4" fillId="0" borderId="38" xfId="0" applyNumberFormat="1" applyFont="1" applyFill="1" applyBorder="1" applyAlignment="1">
      <alignment horizontal="center"/>
    </xf>
    <xf numFmtId="1" fontId="4" fillId="0" borderId="4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27" xfId="0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2" fontId="5" fillId="0" borderId="28" xfId="0" applyNumberFormat="1" applyFont="1" applyBorder="1" applyAlignment="1"/>
    <xf numFmtId="0" fontId="5" fillId="0" borderId="28" xfId="0" applyFont="1" applyBorder="1"/>
    <xf numFmtId="1" fontId="5" fillId="0" borderId="40" xfId="0" applyNumberFormat="1" applyFont="1" applyBorder="1" applyAlignment="1" applyProtection="1">
      <alignment horizontal="center"/>
      <protection locked="0"/>
    </xf>
    <xf numFmtId="1" fontId="5" fillId="0" borderId="42" xfId="0" applyNumberFormat="1" applyFont="1" applyFill="1" applyBorder="1" applyAlignment="1" applyProtection="1">
      <alignment horizontal="center"/>
      <protection locked="0"/>
    </xf>
    <xf numFmtId="1" fontId="5" fillId="0" borderId="38" xfId="0" applyNumberFormat="1" applyFont="1" applyBorder="1" applyAlignment="1" applyProtection="1">
      <alignment horizontal="center"/>
      <protection locked="0"/>
    </xf>
    <xf numFmtId="1" fontId="5" fillId="0" borderId="40" xfId="0" applyNumberFormat="1" applyFont="1" applyFill="1" applyBorder="1" applyAlignment="1" applyProtection="1">
      <alignment horizontal="center"/>
      <protection locked="0"/>
    </xf>
    <xf numFmtId="1" fontId="5" fillId="0" borderId="39" xfId="0" applyNumberFormat="1" applyFont="1" applyFill="1" applyBorder="1" applyAlignment="1" applyProtection="1">
      <alignment horizontal="center"/>
      <protection locked="0"/>
    </xf>
    <xf numFmtId="15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1" fontId="5" fillId="0" borderId="28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8" xfId="0" applyFont="1" applyBorder="1" applyAlignment="1">
      <alignment horizontal="center"/>
    </xf>
    <xf numFmtId="1" fontId="5" fillId="0" borderId="42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2" borderId="26" xfId="0" applyFont="1" applyFill="1" applyBorder="1" applyAlignment="1">
      <alignment horizontal="center"/>
    </xf>
    <xf numFmtId="165" fontId="5" fillId="0" borderId="28" xfId="0" applyNumberFormat="1" applyFont="1" applyFill="1" applyBorder="1" applyAlignment="1"/>
    <xf numFmtId="2" fontId="5" fillId="0" borderId="28" xfId="0" applyNumberFormat="1" applyFont="1" applyFill="1" applyBorder="1" applyAlignment="1"/>
    <xf numFmtId="0" fontId="5" fillId="0" borderId="0" xfId="0" applyFont="1" applyBorder="1" applyAlignment="1">
      <alignment horizontal="left"/>
    </xf>
    <xf numFmtId="15" fontId="5" fillId="2" borderId="1" xfId="0" applyNumberFormat="1" applyFont="1" applyFill="1" applyBorder="1" applyAlignment="1" applyProtection="1">
      <alignment horizontal="center"/>
      <protection locked="0"/>
    </xf>
    <xf numFmtId="1" fontId="5" fillId="4" borderId="0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42" xfId="0" applyNumberFormat="1" applyFont="1" applyFill="1" applyBorder="1" applyAlignment="1">
      <alignment horizontal="center"/>
    </xf>
    <xf numFmtId="167" fontId="5" fillId="0" borderId="14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1" fontId="5" fillId="0" borderId="37" xfId="0" applyNumberFormat="1" applyFont="1" applyBorder="1" applyAlignment="1">
      <alignment horizontal="center"/>
    </xf>
    <xf numFmtId="1" fontId="5" fillId="0" borderId="41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27" xfId="0" applyNumberFormat="1" applyFont="1" applyBorder="1" applyAlignment="1" applyProtection="1">
      <alignment horizontal="center"/>
      <protection locked="0"/>
    </xf>
    <xf numFmtId="0" fontId="5" fillId="0" borderId="37" xfId="0" applyFont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41" xfId="0" applyFont="1" applyFill="1" applyBorder="1"/>
    <xf numFmtId="0" fontId="5" fillId="2" borderId="1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5" fillId="0" borderId="40" xfId="0" applyNumberFormat="1" applyFont="1" applyBorder="1" applyAlignment="1">
      <alignment horizontal="center"/>
    </xf>
    <xf numFmtId="1" fontId="4" fillId="4" borderId="0" xfId="0" applyNumberFormat="1" applyFont="1" applyFill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15" fontId="5" fillId="0" borderId="14" xfId="0" applyNumberFormat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37" xfId="0" applyNumberFormat="1" applyFont="1" applyBorder="1" applyAlignment="1">
      <alignment horizontal="center"/>
    </xf>
    <xf numFmtId="167" fontId="5" fillId="0" borderId="29" xfId="0" applyNumberFormat="1" applyFont="1" applyFill="1" applyBorder="1" applyAlignment="1">
      <alignment horizontal="center"/>
    </xf>
    <xf numFmtId="15" fontId="5" fillId="0" borderId="26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Border="1"/>
    <xf numFmtId="165" fontId="5" fillId="0" borderId="28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/>
    <xf numFmtId="0" fontId="5" fillId="0" borderId="4" xfId="0" applyFont="1" applyBorder="1" applyAlignment="1">
      <alignment horizontal="center"/>
    </xf>
    <xf numFmtId="0" fontId="2" fillId="0" borderId="33" xfId="0" applyFont="1" applyBorder="1"/>
    <xf numFmtId="0" fontId="5" fillId="0" borderId="33" xfId="0" applyFont="1" applyBorder="1"/>
    <xf numFmtId="0" fontId="5" fillId="0" borderId="0" xfId="0" applyFont="1" applyAlignment="1">
      <alignment horizontal="right"/>
    </xf>
    <xf numFmtId="0" fontId="5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2" fontId="4" fillId="0" borderId="0" xfId="0" applyNumberFormat="1" applyFont="1" applyFill="1" applyAlignment="1">
      <alignment horizontal="center"/>
    </xf>
    <xf numFmtId="9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4" fillId="3" borderId="3" xfId="0" applyFont="1" applyFill="1" applyBorder="1"/>
    <xf numFmtId="0" fontId="4" fillId="0" borderId="0" xfId="0" applyFont="1" applyFill="1" applyBorder="1"/>
    <xf numFmtId="2" fontId="5" fillId="0" borderId="12" xfId="0" applyNumberFormat="1" applyFont="1" applyBorder="1"/>
    <xf numFmtId="1" fontId="5" fillId="5" borderId="0" xfId="0" applyNumberFormat="1" applyFont="1" applyFill="1" applyBorder="1" applyAlignment="1" applyProtection="1">
      <alignment horizontal="center"/>
      <protection locked="0"/>
    </xf>
    <xf numFmtId="1" fontId="5" fillId="6" borderId="0" xfId="0" applyNumberFormat="1" applyFont="1" applyFill="1" applyBorder="1" applyAlignment="1" applyProtection="1">
      <alignment horizontal="center"/>
      <protection locked="0"/>
    </xf>
    <xf numFmtId="1" fontId="5" fillId="6" borderId="0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4" fillId="5" borderId="0" xfId="0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>
      <alignment horizontal="center"/>
    </xf>
    <xf numFmtId="167" fontId="5" fillId="0" borderId="38" xfId="0" applyNumberFormat="1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5" fillId="0" borderId="31" xfId="0" applyFont="1" applyBorder="1"/>
    <xf numFmtId="165" fontId="4" fillId="0" borderId="31" xfId="0" applyNumberFormat="1" applyFont="1" applyBorder="1" applyAlignment="1">
      <alignment horizontal="center"/>
    </xf>
    <xf numFmtId="1" fontId="5" fillId="0" borderId="39" xfId="0" applyNumberFormat="1" applyFont="1" applyBorder="1" applyAlignment="1" applyProtection="1">
      <alignment horizontal="center"/>
      <protection locked="0"/>
    </xf>
    <xf numFmtId="1" fontId="5" fillId="4" borderId="0" xfId="0" applyNumberFormat="1" applyFont="1" applyFill="1" applyBorder="1" applyAlignment="1">
      <alignment horizontal="center"/>
    </xf>
    <xf numFmtId="0" fontId="5" fillId="0" borderId="26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164" fontId="5" fillId="0" borderId="26" xfId="0" applyNumberFormat="1" applyFont="1" applyFill="1" applyBorder="1" applyAlignment="1" applyProtection="1">
      <alignment horizontal="center"/>
      <protection locked="0"/>
    </xf>
    <xf numFmtId="15" fontId="3" fillId="0" borderId="0" xfId="0" applyNumberFormat="1" applyFont="1" applyAlignment="1">
      <alignment horizontal="center"/>
    </xf>
    <xf numFmtId="15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1"/>
    <xf numFmtId="0" fontId="4" fillId="0" borderId="29" xfId="0" applyFont="1" applyBorder="1" applyAlignment="1">
      <alignment horizontal="center"/>
    </xf>
  </cellXfs>
  <cellStyles count="2">
    <cellStyle name="Normal" xfId="0" builtinId="0"/>
    <cellStyle name="Normal 2" xfId="1" xr:uid="{8F85AB5C-5091-4C54-9CA2-A2A25C46D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 pg Curve 1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72594191832759"/>
          <c:y val="0.22614880008557878"/>
          <c:w val="0.77206067148406743"/>
          <c:h val="0.55830485021127263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2.411926786242961E-2"/>
                  <c:y val="-0.19089238845144357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'[1]Calibration curves '!$A$7:$A$12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'[1]Calibration curves '!$B$7:$B$12</c:f>
              <c:numCache>
                <c:formatCode>General</c:formatCode>
                <c:ptCount val="6"/>
                <c:pt idx="0">
                  <c:v>50</c:v>
                </c:pt>
                <c:pt idx="1">
                  <c:v>178</c:v>
                </c:pt>
                <c:pt idx="2">
                  <c:v>332</c:v>
                </c:pt>
                <c:pt idx="3">
                  <c:v>674</c:v>
                </c:pt>
                <c:pt idx="4">
                  <c:v>1721</c:v>
                </c:pt>
                <c:pt idx="5">
                  <c:v>3297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DC-4A09-89E8-8367FA91E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986168"/>
        <c:axId val="228986560"/>
      </c:scatterChart>
      <c:valAx>
        <c:axId val="228986168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986560"/>
        <c:crossesAt val="0"/>
        <c:crossBetween val="midCat"/>
        <c:majorUnit val="2"/>
        <c:minorUnit val="1"/>
      </c:valAx>
      <c:valAx>
        <c:axId val="228986560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986168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0-200 pg Curve 2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65271061130145"/>
          <c:y val="0.21993200954416864"/>
          <c:w val="0.76978597540555538"/>
          <c:h val="0.56357577445693208"/>
        </c:manualLayout>
      </c:layout>
      <c:scatterChart>
        <c:scatterStyle val="lineMarker"/>
        <c:varyColors val="0"/>
        <c:ser>
          <c:idx val="0"/>
          <c:order val="0"/>
          <c:tx>
            <c:v>1-200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454575163398693"/>
                  <c:y val="0.15043821276726374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'[3]Calibration curves '!$A$7:$A$15</c:f>
              <c:numCache>
                <c:formatCode>General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  <c:pt idx="7">
                  <c:v>200</c:v>
                </c:pt>
                <c:pt idx="8">
                  <c:v>500</c:v>
                </c:pt>
              </c:numCache>
            </c:numRef>
          </c:xVal>
          <c:yVal>
            <c:numRef>
              <c:f>'[3]Calibration curves '!$C$7:$C$15</c:f>
              <c:numCache>
                <c:formatCode>General</c:formatCode>
                <c:ptCount val="9"/>
                <c:pt idx="0">
                  <c:v>43</c:v>
                </c:pt>
                <c:pt idx="1">
                  <c:v>178</c:v>
                </c:pt>
                <c:pt idx="2">
                  <c:v>335</c:v>
                </c:pt>
                <c:pt idx="3">
                  <c:v>693</c:v>
                </c:pt>
                <c:pt idx="4">
                  <c:v>1565</c:v>
                </c:pt>
                <c:pt idx="5">
                  <c:v>3317</c:v>
                </c:pt>
                <c:pt idx="6">
                  <c:v>16450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BA-419A-898D-F0029F12B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786736"/>
        <c:axId val="349787128"/>
      </c:scatterChart>
      <c:valAx>
        <c:axId val="349786736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7128"/>
        <c:crossesAt val="0"/>
        <c:crossBetween val="midCat"/>
        <c:majorUnit val="20"/>
        <c:minorUnit val="5"/>
      </c:valAx>
      <c:valAx>
        <c:axId val="349787128"/>
        <c:scaling>
          <c:orientation val="minMax"/>
          <c:max val="72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6736"/>
        <c:crosses val="autoZero"/>
        <c:crossBetween val="midCat"/>
        <c:majorUnit val="10000"/>
        <c:minorUnit val="5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0-200 pg Curve 1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09615384615385"/>
          <c:y val="0.22068965517241379"/>
          <c:w val="0.76923076923076927"/>
          <c:h val="0.56206896551724139"/>
        </c:manualLayout>
      </c:layout>
      <c:scatterChart>
        <c:scatterStyle val="lineMarker"/>
        <c:varyColors val="0"/>
        <c:ser>
          <c:idx val="0"/>
          <c:order val="0"/>
          <c:tx>
            <c:v>1-200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7214743589743591"/>
                  <c:y val="3.10344827586207E-2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'[4]Calibration curves '!$A$7:$A$15</c:f>
              <c:numCache>
                <c:formatCode>General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  <c:pt idx="7">
                  <c:v>200</c:v>
                </c:pt>
                <c:pt idx="8">
                  <c:v>500</c:v>
                </c:pt>
              </c:numCache>
            </c:numRef>
          </c:xVal>
          <c:yVal>
            <c:numRef>
              <c:f>'[4]Calibration curves '!$B$7:$B$15</c:f>
              <c:numCache>
                <c:formatCode>General</c:formatCode>
                <c:ptCount val="9"/>
                <c:pt idx="0">
                  <c:v>58</c:v>
                </c:pt>
                <c:pt idx="1">
                  <c:v>163</c:v>
                </c:pt>
                <c:pt idx="2">
                  <c:v>380</c:v>
                </c:pt>
                <c:pt idx="3">
                  <c:v>767</c:v>
                </c:pt>
                <c:pt idx="4">
                  <c:v>1647</c:v>
                </c:pt>
                <c:pt idx="5">
                  <c:v>3246</c:v>
                </c:pt>
                <c:pt idx="6">
                  <c:v>15817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64-43A2-8EFE-7427E7836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787912"/>
        <c:axId val="349788304"/>
      </c:scatterChart>
      <c:valAx>
        <c:axId val="349787912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8304"/>
        <c:crossesAt val="0"/>
        <c:crossBetween val="midCat"/>
        <c:majorUnit val="20"/>
        <c:minorUnit val="5"/>
      </c:valAx>
      <c:valAx>
        <c:axId val="349788304"/>
        <c:scaling>
          <c:orientation val="minMax"/>
          <c:max val="72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7912"/>
        <c:crosses val="autoZero"/>
        <c:crossBetween val="midCat"/>
        <c:majorUnit val="10000"/>
        <c:minorUnit val="5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0-10pg Brooks Rand Curve</a:t>
            </a:r>
          </a:p>
        </c:rich>
      </c:tx>
      <c:layout>
        <c:manualLayout>
          <c:xMode val="edge"/>
          <c:yMode val="edge"/>
          <c:x val="0.29440465927160564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91528121977935"/>
          <c:y val="0.22745185145470073"/>
          <c:w val="0.77615756196196861"/>
          <c:h val="0.53725695947058616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(1-1000 pg Curve 3)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0"/>
            <c:dispEq val="0"/>
          </c:trendline>
          <c:trendline>
            <c:name>Linear (0-1000 pg Curve 3)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8.3203641933606298E-3"/>
                  <c:y val="-0.19410419492437675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'[2]Calibration curves '!$A$7:$A$11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</c:numCache>
            </c:numRef>
          </c:xVal>
          <c:yVal>
            <c:numRef>
              <c:f>'[2]Calibration curves '!$D$7:$D$11</c:f>
              <c:numCache>
                <c:formatCode>General</c:formatCode>
                <c:ptCount val="5"/>
                <c:pt idx="0">
                  <c:v>47</c:v>
                </c:pt>
                <c:pt idx="1">
                  <c:v>187</c:v>
                </c:pt>
                <c:pt idx="2">
                  <c:v>349</c:v>
                </c:pt>
                <c:pt idx="3">
                  <c:v>679</c:v>
                </c:pt>
                <c:pt idx="4">
                  <c:v>3073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CC-4E67-8166-0DBA9AC0A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789088"/>
        <c:axId val="349789480"/>
      </c:scatterChart>
      <c:valAx>
        <c:axId val="349789088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851709229776942"/>
              <c:y val="0.86274839174514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9480"/>
        <c:crosses val="autoZero"/>
        <c:crossBetween val="midCat"/>
        <c:majorUnit val="2"/>
        <c:minorUnit val="1"/>
      </c:valAx>
      <c:valAx>
        <c:axId val="349789480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165450121654502E-2"/>
              <c:y val="0.35294241161031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9088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 pg Curve 1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72594191832759"/>
          <c:y val="0.22614880008557878"/>
          <c:w val="0.77206067148406743"/>
          <c:h val="0.55830485021127263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7.7980307710155017E-2"/>
                  <c:y val="-0.14381373499483735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'[4]Calibration curves '!$A$7:$A$12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'[4]Calibration curves '!$B$7:$B$12</c:f>
              <c:numCache>
                <c:formatCode>General</c:formatCode>
                <c:ptCount val="6"/>
                <c:pt idx="0">
                  <c:v>58</c:v>
                </c:pt>
                <c:pt idx="1">
                  <c:v>163</c:v>
                </c:pt>
                <c:pt idx="2">
                  <c:v>380</c:v>
                </c:pt>
                <c:pt idx="3">
                  <c:v>767</c:v>
                </c:pt>
                <c:pt idx="4">
                  <c:v>1647</c:v>
                </c:pt>
                <c:pt idx="5">
                  <c:v>3246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6A-4316-A986-507011460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537952"/>
        <c:axId val="350538344"/>
      </c:scatterChart>
      <c:valAx>
        <c:axId val="350537952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38344"/>
        <c:crossesAt val="0"/>
        <c:crossBetween val="midCat"/>
        <c:majorUnit val="2"/>
        <c:minorUnit val="1"/>
      </c:valAx>
      <c:valAx>
        <c:axId val="350538344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37952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 pg Curve 2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72594191832759"/>
          <c:y val="0.22614880008557878"/>
          <c:w val="0.77206067148406743"/>
          <c:h val="0.55830485021127263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8317173163271945E-2"/>
                  <c:y val="-0.13831595374902461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'[4]Calibration curves '!$A$7:$A$12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'[4]Calibration curves '!$C$7:$C$12</c:f>
              <c:numCache>
                <c:formatCode>General</c:formatCode>
                <c:ptCount val="6"/>
                <c:pt idx="0">
                  <c:v>43</c:v>
                </c:pt>
                <c:pt idx="1">
                  <c:v>178</c:v>
                </c:pt>
                <c:pt idx="2">
                  <c:v>335</c:v>
                </c:pt>
                <c:pt idx="3">
                  <c:v>693</c:v>
                </c:pt>
                <c:pt idx="4">
                  <c:v>1565</c:v>
                </c:pt>
                <c:pt idx="5">
                  <c:v>3317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88-4D90-A6EC-BA3A56802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539128"/>
        <c:axId val="350539520"/>
      </c:scatterChart>
      <c:valAx>
        <c:axId val="350539128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39520"/>
        <c:crossesAt val="0"/>
        <c:crossBetween val="midCat"/>
        <c:majorUnit val="2"/>
        <c:minorUnit val="1"/>
      </c:valAx>
      <c:valAx>
        <c:axId val="350539520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39128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0-200 pg Curve 2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65271061130145"/>
          <c:y val="0.21993200954416864"/>
          <c:w val="0.76978597540555538"/>
          <c:h val="0.56357577445693208"/>
        </c:manualLayout>
      </c:layout>
      <c:scatterChart>
        <c:scatterStyle val="lineMarker"/>
        <c:varyColors val="0"/>
        <c:ser>
          <c:idx val="0"/>
          <c:order val="0"/>
          <c:tx>
            <c:v>1-200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8060703662677401"/>
                  <c:y val="0.15120336532714487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'[4]Calibration curves '!$A$7:$A$15</c:f>
              <c:numCache>
                <c:formatCode>General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  <c:pt idx="7">
                  <c:v>200</c:v>
                </c:pt>
                <c:pt idx="8">
                  <c:v>500</c:v>
                </c:pt>
              </c:numCache>
            </c:numRef>
          </c:xVal>
          <c:yVal>
            <c:numRef>
              <c:f>'[4]Calibration curves '!$C$7:$C$15</c:f>
              <c:numCache>
                <c:formatCode>General</c:formatCode>
                <c:ptCount val="9"/>
                <c:pt idx="0">
                  <c:v>43</c:v>
                </c:pt>
                <c:pt idx="1">
                  <c:v>178</c:v>
                </c:pt>
                <c:pt idx="2">
                  <c:v>335</c:v>
                </c:pt>
                <c:pt idx="3">
                  <c:v>693</c:v>
                </c:pt>
                <c:pt idx="4">
                  <c:v>1565</c:v>
                </c:pt>
                <c:pt idx="5">
                  <c:v>3317</c:v>
                </c:pt>
                <c:pt idx="6">
                  <c:v>16450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C3-4181-BBEB-A153C57EC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540304"/>
        <c:axId val="350540696"/>
      </c:scatterChart>
      <c:valAx>
        <c:axId val="350540304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40696"/>
        <c:crossesAt val="0"/>
        <c:crossBetween val="midCat"/>
        <c:majorUnit val="20"/>
        <c:minorUnit val="5"/>
      </c:valAx>
      <c:valAx>
        <c:axId val="350540696"/>
        <c:scaling>
          <c:orientation val="minMax"/>
          <c:max val="72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40304"/>
        <c:crosses val="autoZero"/>
        <c:crossBetween val="midCat"/>
        <c:majorUnit val="10000"/>
        <c:minorUnit val="5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0-200 pg Curve 1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09615384615385"/>
          <c:y val="0.22068965517241379"/>
          <c:w val="0.76923076923076927"/>
          <c:h val="0.56206896551724139"/>
        </c:manualLayout>
      </c:layout>
      <c:scatterChart>
        <c:scatterStyle val="lineMarker"/>
        <c:varyColors val="0"/>
        <c:ser>
          <c:idx val="0"/>
          <c:order val="0"/>
          <c:tx>
            <c:v>1-200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3061855670103094"/>
                  <c:y val="9.1201056008349837E-2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'[5]Calibration curves '!$A$7:$A$15</c:f>
              <c:numCache>
                <c:formatCode>General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  <c:pt idx="7">
                  <c:v>200</c:v>
                </c:pt>
                <c:pt idx="8">
                  <c:v>500</c:v>
                </c:pt>
              </c:numCache>
            </c:numRef>
          </c:xVal>
          <c:yVal>
            <c:numRef>
              <c:f>'[5]Calibration curves '!$B$7:$B$15</c:f>
              <c:numCache>
                <c:formatCode>General</c:formatCode>
                <c:ptCount val="9"/>
                <c:pt idx="0">
                  <c:v>50</c:v>
                </c:pt>
                <c:pt idx="1">
                  <c:v>191</c:v>
                </c:pt>
                <c:pt idx="2">
                  <c:v>337</c:v>
                </c:pt>
                <c:pt idx="3">
                  <c:v>688</c:v>
                </c:pt>
                <c:pt idx="4">
                  <c:v>1663</c:v>
                </c:pt>
                <c:pt idx="5">
                  <c:v>3235</c:v>
                </c:pt>
                <c:pt idx="6">
                  <c:v>16705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9E-475A-92DE-056FEC40C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541480"/>
        <c:axId val="350541872"/>
      </c:scatterChart>
      <c:valAx>
        <c:axId val="350541480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41872"/>
        <c:crossesAt val="0"/>
        <c:crossBetween val="midCat"/>
        <c:majorUnit val="20"/>
        <c:minorUnit val="5"/>
      </c:valAx>
      <c:valAx>
        <c:axId val="350541872"/>
        <c:scaling>
          <c:orientation val="minMax"/>
          <c:max val="72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41480"/>
        <c:crosses val="autoZero"/>
        <c:crossBetween val="midCat"/>
        <c:majorUnit val="10000"/>
        <c:minorUnit val="5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0-10pg Brooks Rand Curve</a:t>
            </a:r>
          </a:p>
        </c:rich>
      </c:tx>
      <c:layout>
        <c:manualLayout>
          <c:xMode val="edge"/>
          <c:yMode val="edge"/>
          <c:x val="0.29440465927160564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91528121977935"/>
          <c:y val="0.22745185145470073"/>
          <c:w val="0.77615756196196861"/>
          <c:h val="0.53725695947058616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(1-1000 pg Curve 3)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0"/>
            <c:dispEq val="0"/>
          </c:trendline>
          <c:trendline>
            <c:name>Linear (0-1000 pg Curve 3)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3.8531049003489949E-2"/>
                  <c:y val="-0.17545966754155731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'[2]Calibration curves '!$A$7:$A$11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</c:numCache>
            </c:numRef>
          </c:xVal>
          <c:yVal>
            <c:numRef>
              <c:f>'[2]Calibration curves '!$D$7:$D$11</c:f>
              <c:numCache>
                <c:formatCode>General</c:formatCode>
                <c:ptCount val="5"/>
                <c:pt idx="0">
                  <c:v>47</c:v>
                </c:pt>
                <c:pt idx="1">
                  <c:v>187</c:v>
                </c:pt>
                <c:pt idx="2">
                  <c:v>349</c:v>
                </c:pt>
                <c:pt idx="3">
                  <c:v>679</c:v>
                </c:pt>
                <c:pt idx="4">
                  <c:v>3073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EA-4B04-93B8-CC4F81E1B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542656"/>
        <c:axId val="350543048"/>
      </c:scatterChart>
      <c:valAx>
        <c:axId val="350542656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851709229776942"/>
              <c:y val="0.86274839174514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43048"/>
        <c:crosses val="autoZero"/>
        <c:crossBetween val="midCat"/>
        <c:majorUnit val="2"/>
        <c:minorUnit val="1"/>
      </c:valAx>
      <c:valAx>
        <c:axId val="350543048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165450121654502E-2"/>
              <c:y val="0.35294241161031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42656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 pg Curve 1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72594191832759"/>
          <c:y val="0.22614880008557878"/>
          <c:w val="0.77206067148406743"/>
          <c:h val="0.55830485021127263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2586244399008134"/>
                  <c:y val="-0.14828277095993631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'[5]Calibration curves '!$A$7:$A$12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'[5]Calibration curves '!$B$7:$B$12</c:f>
              <c:numCache>
                <c:formatCode>General</c:formatCode>
                <c:ptCount val="6"/>
                <c:pt idx="0">
                  <c:v>50</c:v>
                </c:pt>
                <c:pt idx="1">
                  <c:v>191</c:v>
                </c:pt>
                <c:pt idx="2">
                  <c:v>337</c:v>
                </c:pt>
                <c:pt idx="3">
                  <c:v>688</c:v>
                </c:pt>
                <c:pt idx="4">
                  <c:v>1663</c:v>
                </c:pt>
                <c:pt idx="5">
                  <c:v>3235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56-4363-8455-7FD4B5B80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543832"/>
        <c:axId val="350544224"/>
      </c:scatterChart>
      <c:valAx>
        <c:axId val="350543832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44224"/>
        <c:crossesAt val="0"/>
        <c:crossBetween val="midCat"/>
        <c:majorUnit val="2"/>
        <c:minorUnit val="1"/>
      </c:valAx>
      <c:valAx>
        <c:axId val="350544224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43832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 pg Curve 2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72594191832759"/>
          <c:y val="0.22614880008557878"/>
          <c:w val="0.77206067148406743"/>
          <c:h val="0.55830485021127263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8.7297889416715471E-2"/>
                  <c:y val="-0.13030794574101662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'[5]Calibration curves '!$A$7:$A$12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'[5]Calibration curves '!$C$7:$C$12</c:f>
              <c:numCache>
                <c:formatCode>General</c:formatCode>
                <c:ptCount val="6"/>
                <c:pt idx="0">
                  <c:v>43</c:v>
                </c:pt>
                <c:pt idx="1">
                  <c:v>178</c:v>
                </c:pt>
                <c:pt idx="2">
                  <c:v>335</c:v>
                </c:pt>
                <c:pt idx="3">
                  <c:v>693</c:v>
                </c:pt>
                <c:pt idx="4">
                  <c:v>1565</c:v>
                </c:pt>
                <c:pt idx="5">
                  <c:v>3317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B5-4A45-A4FF-0BCC6BB28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545008"/>
        <c:axId val="352133120"/>
      </c:scatterChart>
      <c:valAx>
        <c:axId val="350545008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133120"/>
        <c:crossesAt val="0"/>
        <c:crossBetween val="midCat"/>
        <c:majorUnit val="2"/>
        <c:minorUnit val="1"/>
      </c:valAx>
      <c:valAx>
        <c:axId val="352133120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545008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0-200 pg Curve 1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09615384615385"/>
          <c:y val="0.22068965517241379"/>
          <c:w val="0.76923076923076927"/>
          <c:h val="0.56206896551724139"/>
        </c:manualLayout>
      </c:layout>
      <c:scatterChart>
        <c:scatterStyle val="lineMarker"/>
        <c:varyColors val="0"/>
        <c:ser>
          <c:idx val="0"/>
          <c:order val="0"/>
          <c:tx>
            <c:v>1-200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7214743589743591"/>
                  <c:y val="-2.758620689655172E-2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'[1]Calibration curves '!$A$7:$A$15</c:f>
              <c:numCache>
                <c:formatCode>General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  <c:pt idx="7">
                  <c:v>200</c:v>
                </c:pt>
                <c:pt idx="8">
                  <c:v>500</c:v>
                </c:pt>
              </c:numCache>
            </c:numRef>
          </c:xVal>
          <c:yVal>
            <c:numRef>
              <c:f>'[1]Calibration curves '!$B$7:$B$15</c:f>
              <c:numCache>
                <c:formatCode>General</c:formatCode>
                <c:ptCount val="9"/>
                <c:pt idx="0">
                  <c:v>50</c:v>
                </c:pt>
                <c:pt idx="1">
                  <c:v>178</c:v>
                </c:pt>
                <c:pt idx="2">
                  <c:v>332</c:v>
                </c:pt>
                <c:pt idx="3">
                  <c:v>674</c:v>
                </c:pt>
                <c:pt idx="4">
                  <c:v>1721</c:v>
                </c:pt>
                <c:pt idx="5">
                  <c:v>3297</c:v>
                </c:pt>
                <c:pt idx="6">
                  <c:v>16572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46-4FEA-88B4-E6DB5C07C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987344"/>
        <c:axId val="228987736"/>
      </c:scatterChart>
      <c:valAx>
        <c:axId val="228987344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987736"/>
        <c:crossesAt val="0"/>
        <c:crossBetween val="midCat"/>
        <c:majorUnit val="20"/>
        <c:minorUnit val="5"/>
      </c:valAx>
      <c:valAx>
        <c:axId val="228987736"/>
        <c:scaling>
          <c:orientation val="minMax"/>
          <c:max val="72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987344"/>
        <c:crosses val="autoZero"/>
        <c:crossBetween val="midCat"/>
        <c:majorUnit val="10000"/>
        <c:minorUnit val="5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0-200 pg Curve 2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65271061130145"/>
          <c:y val="0.21993200954416864"/>
          <c:w val="0.76978597540555538"/>
          <c:h val="0.56357577445693208"/>
        </c:manualLayout>
      </c:layout>
      <c:scatterChart>
        <c:scatterStyle val="lineMarker"/>
        <c:varyColors val="0"/>
        <c:ser>
          <c:idx val="0"/>
          <c:order val="0"/>
          <c:tx>
            <c:v>1-200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3061855670103094"/>
                  <c:y val="0.15043821276726374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'[5]Calibration curves '!$A$7:$A$15</c:f>
              <c:numCache>
                <c:formatCode>General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  <c:pt idx="7">
                  <c:v>200</c:v>
                </c:pt>
                <c:pt idx="8">
                  <c:v>500</c:v>
                </c:pt>
              </c:numCache>
            </c:numRef>
          </c:xVal>
          <c:yVal>
            <c:numRef>
              <c:f>'[5]Calibration curves '!$C$7:$C$15</c:f>
              <c:numCache>
                <c:formatCode>General</c:formatCode>
                <c:ptCount val="9"/>
                <c:pt idx="0">
                  <c:v>43</c:v>
                </c:pt>
                <c:pt idx="1">
                  <c:v>178</c:v>
                </c:pt>
                <c:pt idx="2">
                  <c:v>335</c:v>
                </c:pt>
                <c:pt idx="3">
                  <c:v>693</c:v>
                </c:pt>
                <c:pt idx="4">
                  <c:v>1565</c:v>
                </c:pt>
                <c:pt idx="5">
                  <c:v>3317</c:v>
                </c:pt>
                <c:pt idx="6">
                  <c:v>16450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FB-4415-B0F8-13FE5FBDB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133904"/>
        <c:axId val="352134296"/>
      </c:scatterChart>
      <c:valAx>
        <c:axId val="352133904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134296"/>
        <c:crossesAt val="0"/>
        <c:crossBetween val="midCat"/>
        <c:majorUnit val="20"/>
        <c:minorUnit val="5"/>
      </c:valAx>
      <c:valAx>
        <c:axId val="352134296"/>
        <c:scaling>
          <c:orientation val="minMax"/>
          <c:max val="72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133904"/>
        <c:crosses val="autoZero"/>
        <c:crossBetween val="midCat"/>
        <c:majorUnit val="10000"/>
        <c:minorUnit val="5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 pg Curve 2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72594191832759"/>
          <c:y val="0.22614880008557878"/>
          <c:w val="0.77206067148406743"/>
          <c:h val="0.55830485021127263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2.2743998463606672E-2"/>
                  <c:y val="-0.1907839089568556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'[1]Calibration curves '!$A$7:$A$12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'[1]Calibration curves '!$C$7:$C$12</c:f>
              <c:numCache>
                <c:formatCode>General</c:formatCode>
                <c:ptCount val="6"/>
                <c:pt idx="0">
                  <c:v>43</c:v>
                </c:pt>
                <c:pt idx="1">
                  <c:v>178</c:v>
                </c:pt>
                <c:pt idx="2">
                  <c:v>335</c:v>
                </c:pt>
                <c:pt idx="3">
                  <c:v>693</c:v>
                </c:pt>
                <c:pt idx="4">
                  <c:v>1565</c:v>
                </c:pt>
                <c:pt idx="5">
                  <c:v>3317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7E-45F5-AFDC-F03741EAE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11784"/>
        <c:axId val="349412176"/>
      </c:scatterChart>
      <c:valAx>
        <c:axId val="349411784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412176"/>
        <c:crossesAt val="0"/>
        <c:crossBetween val="midCat"/>
        <c:majorUnit val="2"/>
        <c:minorUnit val="1"/>
      </c:valAx>
      <c:valAx>
        <c:axId val="349412176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411784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0-200 pg Curve 2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65271061130145"/>
          <c:y val="0.21993200954416864"/>
          <c:w val="0.76978597540555538"/>
          <c:h val="0.56357577445693208"/>
        </c:manualLayout>
      </c:layout>
      <c:scatterChart>
        <c:scatterStyle val="lineMarker"/>
        <c:varyColors val="0"/>
        <c:ser>
          <c:idx val="0"/>
          <c:order val="0"/>
          <c:tx>
            <c:v>1-200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8060703662677401"/>
                  <c:y val="0.15120336532714487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'[1]Calibration curves '!$A$7:$A$15</c:f>
              <c:numCache>
                <c:formatCode>General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  <c:pt idx="7">
                  <c:v>200</c:v>
                </c:pt>
                <c:pt idx="8">
                  <c:v>500</c:v>
                </c:pt>
              </c:numCache>
            </c:numRef>
          </c:xVal>
          <c:yVal>
            <c:numRef>
              <c:f>'[1]Calibration curves '!$C$7:$C$15</c:f>
              <c:numCache>
                <c:formatCode>General</c:formatCode>
                <c:ptCount val="9"/>
                <c:pt idx="0">
                  <c:v>43</c:v>
                </c:pt>
                <c:pt idx="1">
                  <c:v>178</c:v>
                </c:pt>
                <c:pt idx="2">
                  <c:v>335</c:v>
                </c:pt>
                <c:pt idx="3">
                  <c:v>693</c:v>
                </c:pt>
                <c:pt idx="4">
                  <c:v>1565</c:v>
                </c:pt>
                <c:pt idx="5">
                  <c:v>3317</c:v>
                </c:pt>
                <c:pt idx="6">
                  <c:v>16450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A5-4378-8D1F-6B6BC2EE0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12960"/>
        <c:axId val="349413352"/>
      </c:scatterChart>
      <c:valAx>
        <c:axId val="349412960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413352"/>
        <c:crossesAt val="0"/>
        <c:crossBetween val="midCat"/>
        <c:majorUnit val="20"/>
        <c:minorUnit val="5"/>
      </c:valAx>
      <c:valAx>
        <c:axId val="349413352"/>
        <c:scaling>
          <c:orientation val="minMax"/>
          <c:max val="72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412960"/>
        <c:crosses val="autoZero"/>
        <c:crossBetween val="midCat"/>
        <c:majorUnit val="10000"/>
        <c:minorUnit val="5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0-10pg Brooks Rand Curve</a:t>
            </a:r>
          </a:p>
        </c:rich>
      </c:tx>
      <c:layout>
        <c:manualLayout>
          <c:xMode val="edge"/>
          <c:yMode val="edge"/>
          <c:x val="0.29440465927160564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91528121977935"/>
          <c:y val="0.22745185145470073"/>
          <c:w val="0.77615756196196861"/>
          <c:h val="0.53725695947058616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(1-1000 pg Curve 3)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0"/>
            <c:dispEq val="0"/>
          </c:trendline>
          <c:trendline>
            <c:name>Linear (0-1000 pg Curve 3)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8.3203641933606298E-3"/>
                  <c:y val="-0.19410419492437675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'[2]Calibration curves '!$A$7:$A$11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</c:numCache>
            </c:numRef>
          </c:xVal>
          <c:yVal>
            <c:numRef>
              <c:f>'[2]Calibration curves '!$D$7:$D$11</c:f>
              <c:numCache>
                <c:formatCode>General</c:formatCode>
                <c:ptCount val="5"/>
                <c:pt idx="0">
                  <c:v>47</c:v>
                </c:pt>
                <c:pt idx="1">
                  <c:v>187</c:v>
                </c:pt>
                <c:pt idx="2">
                  <c:v>349</c:v>
                </c:pt>
                <c:pt idx="3">
                  <c:v>679</c:v>
                </c:pt>
                <c:pt idx="4">
                  <c:v>3073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3A-4CEC-83E4-929BAE63F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14136"/>
        <c:axId val="349414528"/>
      </c:scatterChart>
      <c:valAx>
        <c:axId val="349414136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851709229776942"/>
              <c:y val="0.86274839174514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414528"/>
        <c:crosses val="autoZero"/>
        <c:crossBetween val="midCat"/>
        <c:majorUnit val="2"/>
        <c:minorUnit val="1"/>
      </c:valAx>
      <c:valAx>
        <c:axId val="349414528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165450121654502E-2"/>
              <c:y val="0.35294241161031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414136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0-200 pg Curve 1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09615384615385"/>
          <c:y val="0.22068965517241379"/>
          <c:w val="0.76923076923076927"/>
          <c:h val="0.56206896551724139"/>
        </c:manualLayout>
      </c:layout>
      <c:scatterChart>
        <c:scatterStyle val="lineMarker"/>
        <c:varyColors val="0"/>
        <c:ser>
          <c:idx val="0"/>
          <c:order val="0"/>
          <c:tx>
            <c:v>1-200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2911764705882355"/>
                  <c:y val="9.6025738718144099E-2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'[3]Calibration curves '!$A$7:$A$15</c:f>
              <c:numCache>
                <c:formatCode>General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50</c:v>
                </c:pt>
                <c:pt idx="7">
                  <c:v>200</c:v>
                </c:pt>
                <c:pt idx="8">
                  <c:v>500</c:v>
                </c:pt>
              </c:numCache>
            </c:numRef>
          </c:xVal>
          <c:yVal>
            <c:numRef>
              <c:f>'[3]Calibration curves '!$B$7:$B$15</c:f>
              <c:numCache>
                <c:formatCode>General</c:formatCode>
                <c:ptCount val="9"/>
                <c:pt idx="0">
                  <c:v>42</c:v>
                </c:pt>
                <c:pt idx="1">
                  <c:v>169</c:v>
                </c:pt>
                <c:pt idx="2">
                  <c:v>296</c:v>
                </c:pt>
                <c:pt idx="3">
                  <c:v>625</c:v>
                </c:pt>
                <c:pt idx="4">
                  <c:v>1542</c:v>
                </c:pt>
                <c:pt idx="5">
                  <c:v>3123</c:v>
                </c:pt>
                <c:pt idx="6">
                  <c:v>15512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3B-4B28-8A90-82E6E327C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782032"/>
        <c:axId val="349782424"/>
      </c:scatterChart>
      <c:valAx>
        <c:axId val="349782032"/>
        <c:scaling>
          <c:orientation val="minMax"/>
          <c:max val="20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2424"/>
        <c:crossesAt val="0"/>
        <c:crossBetween val="midCat"/>
        <c:majorUnit val="20"/>
        <c:minorUnit val="5"/>
      </c:valAx>
      <c:valAx>
        <c:axId val="349782424"/>
        <c:scaling>
          <c:orientation val="minMax"/>
          <c:max val="72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2032"/>
        <c:crosses val="autoZero"/>
        <c:crossBetween val="midCat"/>
        <c:majorUnit val="10000"/>
        <c:minorUnit val="5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0-10pg Brooks Rand Curve</a:t>
            </a:r>
          </a:p>
        </c:rich>
      </c:tx>
      <c:layout>
        <c:manualLayout>
          <c:xMode val="edge"/>
          <c:yMode val="edge"/>
          <c:x val="0.29440465927160564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91528121977935"/>
          <c:y val="0.22745185145470073"/>
          <c:w val="0.77615756196196861"/>
          <c:h val="0.53725695947058616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(1-1000 pg Curve 3)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0"/>
            <c:dispEq val="0"/>
          </c:trendline>
          <c:trendline>
            <c:name>Linear (0-1000 pg Curve 3)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8.3203641933606298E-3"/>
                  <c:y val="-0.19410419492437675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'[2]Calibration curves '!$A$7:$A$11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</c:numCache>
            </c:numRef>
          </c:xVal>
          <c:yVal>
            <c:numRef>
              <c:f>'[2]Calibration curves '!$D$7:$D$11</c:f>
              <c:numCache>
                <c:formatCode>General</c:formatCode>
                <c:ptCount val="5"/>
                <c:pt idx="0">
                  <c:v>47</c:v>
                </c:pt>
                <c:pt idx="1">
                  <c:v>187</c:v>
                </c:pt>
                <c:pt idx="2">
                  <c:v>349</c:v>
                </c:pt>
                <c:pt idx="3">
                  <c:v>679</c:v>
                </c:pt>
                <c:pt idx="4">
                  <c:v>3073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DE-4552-BF1C-7FC5476F7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783208"/>
        <c:axId val="349783600"/>
      </c:scatterChart>
      <c:valAx>
        <c:axId val="349783208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851709229776942"/>
              <c:y val="0.86274839174514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3600"/>
        <c:crosses val="autoZero"/>
        <c:crossBetween val="midCat"/>
        <c:majorUnit val="2"/>
        <c:minorUnit val="1"/>
      </c:valAx>
      <c:valAx>
        <c:axId val="349783600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165450121654502E-2"/>
              <c:y val="0.35294241161031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3208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 pg Curve 1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72594191832759"/>
          <c:y val="0.22614880008557878"/>
          <c:w val="0.77206067148406743"/>
          <c:h val="0.55830485021127263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2586244399008134"/>
                  <c:y val="-0.17441387597634633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'[3]Calibration curves '!$A$7:$A$12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'[3]Calibration curves '!$B$7:$B$12</c:f>
              <c:numCache>
                <c:formatCode>General</c:formatCode>
                <c:ptCount val="6"/>
                <c:pt idx="0">
                  <c:v>42</c:v>
                </c:pt>
                <c:pt idx="1">
                  <c:v>169</c:v>
                </c:pt>
                <c:pt idx="2">
                  <c:v>296</c:v>
                </c:pt>
                <c:pt idx="3">
                  <c:v>625</c:v>
                </c:pt>
                <c:pt idx="4">
                  <c:v>1542</c:v>
                </c:pt>
                <c:pt idx="5">
                  <c:v>3123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DD-4B53-B9A4-484A86562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784384"/>
        <c:axId val="349784776"/>
      </c:scatterChart>
      <c:valAx>
        <c:axId val="349784384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4776"/>
        <c:crossesAt val="0"/>
        <c:crossBetween val="midCat"/>
        <c:majorUnit val="2"/>
        <c:minorUnit val="1"/>
      </c:valAx>
      <c:valAx>
        <c:axId val="349784776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4384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0-20 pg Curve 2</a:t>
            </a:r>
          </a:p>
        </c:rich>
      </c:tx>
      <c:layout>
        <c:manualLayout>
          <c:xMode val="edge"/>
          <c:yMode val="edge"/>
          <c:x val="0.3602948896093870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72594191832759"/>
          <c:y val="0.22614880008557878"/>
          <c:w val="0.77206067148406743"/>
          <c:h val="0.55830485021127263"/>
        </c:manualLayout>
      </c:layout>
      <c:scatterChart>
        <c:scatterStyle val="lineMarker"/>
        <c:varyColors val="0"/>
        <c:ser>
          <c:idx val="0"/>
          <c:order val="0"/>
          <c:tx>
            <c:v>1-1000 pg Curve 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name>Linear (0-1000 pg Curve 1)</c:nam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2402883523857039"/>
                  <c:y val="-0.17835599378906467"/>
                </c:manualLayout>
              </c:layout>
              <c:numFmt formatCode="General" sourceLinked="0"/>
              <c:spPr>
                <a:noFill/>
                <a:ln w="3175">
                  <a:solidFill>
                    <a:srgbClr val="000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'[3]Calibration curves '!$A$7:$A$12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xVal>
          <c:yVal>
            <c:numRef>
              <c:f>'[3]Calibration curves '!$C$7:$C$12</c:f>
              <c:numCache>
                <c:formatCode>General</c:formatCode>
                <c:ptCount val="6"/>
                <c:pt idx="0">
                  <c:v>43</c:v>
                </c:pt>
                <c:pt idx="1">
                  <c:v>178</c:v>
                </c:pt>
                <c:pt idx="2">
                  <c:v>335</c:v>
                </c:pt>
                <c:pt idx="3">
                  <c:v>693</c:v>
                </c:pt>
                <c:pt idx="4">
                  <c:v>1565</c:v>
                </c:pt>
                <c:pt idx="5">
                  <c:v>3317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5A-496E-A21C-746EC0B52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785560"/>
        <c:axId val="349785952"/>
      </c:scatterChart>
      <c:valAx>
        <c:axId val="349785560"/>
        <c:scaling>
          <c:orientation val="minMax"/>
          <c:max val="22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pg MeHg</a:t>
                </a:r>
              </a:p>
            </c:rich>
          </c:tx>
          <c:layout>
            <c:manualLayout>
              <c:xMode val="edge"/>
              <c:yMode val="edge"/>
              <c:x val="0.50980520817250785"/>
              <c:y val="0.87279300334807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5952"/>
        <c:crossesAt val="0"/>
        <c:crossBetween val="midCat"/>
        <c:majorUnit val="2"/>
        <c:minorUnit val="1"/>
      </c:valAx>
      <c:valAx>
        <c:axId val="349785952"/>
        <c:scaling>
          <c:orientation val="minMax"/>
          <c:max val="10000"/>
          <c:min val="-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Peak Height</a:t>
                </a:r>
              </a:p>
            </c:rich>
          </c:tx>
          <c:layout>
            <c:manualLayout>
              <c:xMode val="edge"/>
              <c:yMode val="edge"/>
              <c:x val="1.2254901960784314E-2"/>
              <c:y val="0.353357632416089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785560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37</xdr:row>
      <xdr:rowOff>0</xdr:rowOff>
    </xdr:from>
    <xdr:to>
      <xdr:col>27</xdr:col>
      <xdr:colOff>238125</xdr:colOff>
      <xdr:row>51</xdr:row>
      <xdr:rowOff>38100</xdr:rowOff>
    </xdr:to>
    <xdr:graphicFrame macro="">
      <xdr:nvGraphicFramePr>
        <xdr:cNvPr id="2" name="Chart 2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37</xdr:row>
      <xdr:rowOff>0</xdr:rowOff>
    </xdr:from>
    <xdr:to>
      <xdr:col>33</xdr:col>
      <xdr:colOff>152400</xdr:colOff>
      <xdr:row>51</xdr:row>
      <xdr:rowOff>95250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54</xdr:row>
      <xdr:rowOff>0</xdr:rowOff>
    </xdr:from>
    <xdr:to>
      <xdr:col>27</xdr:col>
      <xdr:colOff>247650</xdr:colOff>
      <xdr:row>68</xdr:row>
      <xdr:rowOff>47625</xdr:rowOff>
    </xdr:to>
    <xdr:graphicFrame macro="">
      <xdr:nvGraphicFramePr>
        <xdr:cNvPr id="5" name="Chart 3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0</xdr:colOff>
      <xdr:row>54</xdr:row>
      <xdr:rowOff>0</xdr:rowOff>
    </xdr:from>
    <xdr:to>
      <xdr:col>33</xdr:col>
      <xdr:colOff>161925</xdr:colOff>
      <xdr:row>68</xdr:row>
      <xdr:rowOff>104775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71</xdr:row>
      <xdr:rowOff>0</xdr:rowOff>
    </xdr:from>
    <xdr:to>
      <xdr:col>27</xdr:col>
      <xdr:colOff>257175</xdr:colOff>
      <xdr:row>83</xdr:row>
      <xdr:rowOff>142875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</xdr:colOff>
      <xdr:row>45</xdr:row>
      <xdr:rowOff>104775</xdr:rowOff>
    </xdr:from>
    <xdr:to>
      <xdr:col>33</xdr:col>
      <xdr:colOff>95250</xdr:colOff>
      <xdr:row>62</xdr:row>
      <xdr:rowOff>114300</xdr:rowOff>
    </xdr:to>
    <xdr:graphicFrame macro="">
      <xdr:nvGraphicFramePr>
        <xdr:cNvPr id="2" name="Chart 1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85725</xdr:colOff>
      <xdr:row>80</xdr:row>
      <xdr:rowOff>76200</xdr:rowOff>
    </xdr:from>
    <xdr:to>
      <xdr:col>27</xdr:col>
      <xdr:colOff>504825</xdr:colOff>
      <xdr:row>95</xdr:row>
      <xdr:rowOff>76200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114300</xdr:colOff>
      <xdr:row>46</xdr:row>
      <xdr:rowOff>9525</xdr:rowOff>
    </xdr:from>
    <xdr:to>
      <xdr:col>27</xdr:col>
      <xdr:colOff>514350</xdr:colOff>
      <xdr:row>62</xdr:row>
      <xdr:rowOff>123825</xdr:rowOff>
    </xdr:to>
    <xdr:graphicFrame macro="">
      <xdr:nvGraphicFramePr>
        <xdr:cNvPr id="4" name="Chart 2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114300</xdr:colOff>
      <xdr:row>63</xdr:row>
      <xdr:rowOff>19050</xdr:rowOff>
    </xdr:from>
    <xdr:to>
      <xdr:col>27</xdr:col>
      <xdr:colOff>523875</xdr:colOff>
      <xdr:row>79</xdr:row>
      <xdr:rowOff>142875</xdr:rowOff>
    </xdr:to>
    <xdr:graphicFrame macro="">
      <xdr:nvGraphicFramePr>
        <xdr:cNvPr id="5" name="Chart 3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19050</xdr:colOff>
      <xdr:row>63</xdr:row>
      <xdr:rowOff>19050</xdr:rowOff>
    </xdr:from>
    <xdr:to>
      <xdr:col>33</xdr:col>
      <xdr:colOff>95250</xdr:colOff>
      <xdr:row>80</xdr:row>
      <xdr:rowOff>38100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19049</xdr:colOff>
      <xdr:row>39</xdr:row>
      <xdr:rowOff>104775</xdr:rowOff>
    </xdr:from>
    <xdr:to>
      <xdr:col>34</xdr:col>
      <xdr:colOff>28574</xdr:colOff>
      <xdr:row>56</xdr:row>
      <xdr:rowOff>114300</xdr:rowOff>
    </xdr:to>
    <xdr:graphicFrame macro="">
      <xdr:nvGraphicFramePr>
        <xdr:cNvPr id="2" name="Chart 1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85725</xdr:colOff>
      <xdr:row>74</xdr:row>
      <xdr:rowOff>76200</xdr:rowOff>
    </xdr:from>
    <xdr:to>
      <xdr:col>28</xdr:col>
      <xdr:colOff>504825</xdr:colOff>
      <xdr:row>89</xdr:row>
      <xdr:rowOff>76200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114300</xdr:colOff>
      <xdr:row>40</xdr:row>
      <xdr:rowOff>9525</xdr:rowOff>
    </xdr:from>
    <xdr:to>
      <xdr:col>28</xdr:col>
      <xdr:colOff>514350</xdr:colOff>
      <xdr:row>56</xdr:row>
      <xdr:rowOff>123825</xdr:rowOff>
    </xdr:to>
    <xdr:graphicFrame macro="">
      <xdr:nvGraphicFramePr>
        <xdr:cNvPr id="4" name="Chart 2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114300</xdr:colOff>
      <xdr:row>57</xdr:row>
      <xdr:rowOff>19050</xdr:rowOff>
    </xdr:from>
    <xdr:to>
      <xdr:col>28</xdr:col>
      <xdr:colOff>523875</xdr:colOff>
      <xdr:row>73</xdr:row>
      <xdr:rowOff>142875</xdr:rowOff>
    </xdr:to>
    <xdr:graphicFrame macro="">
      <xdr:nvGraphicFramePr>
        <xdr:cNvPr id="5" name="Chart 3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19050</xdr:colOff>
      <xdr:row>57</xdr:row>
      <xdr:rowOff>19050</xdr:rowOff>
    </xdr:from>
    <xdr:to>
      <xdr:col>34</xdr:col>
      <xdr:colOff>28575</xdr:colOff>
      <xdr:row>74</xdr:row>
      <xdr:rowOff>38100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38</xdr:row>
      <xdr:rowOff>104775</xdr:rowOff>
    </xdr:from>
    <xdr:to>
      <xdr:col>34</xdr:col>
      <xdr:colOff>666750</xdr:colOff>
      <xdr:row>55</xdr:row>
      <xdr:rowOff>114300</xdr:rowOff>
    </xdr:to>
    <xdr:graphicFrame macro="">
      <xdr:nvGraphicFramePr>
        <xdr:cNvPr id="2" name="Chart 1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85725</xdr:colOff>
      <xdr:row>73</xdr:row>
      <xdr:rowOff>76200</xdr:rowOff>
    </xdr:from>
    <xdr:to>
      <xdr:col>29</xdr:col>
      <xdr:colOff>504825</xdr:colOff>
      <xdr:row>88</xdr:row>
      <xdr:rowOff>76200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114300</xdr:colOff>
      <xdr:row>39</xdr:row>
      <xdr:rowOff>9525</xdr:rowOff>
    </xdr:from>
    <xdr:to>
      <xdr:col>29</xdr:col>
      <xdr:colOff>514350</xdr:colOff>
      <xdr:row>55</xdr:row>
      <xdr:rowOff>123825</xdr:rowOff>
    </xdr:to>
    <xdr:graphicFrame macro="">
      <xdr:nvGraphicFramePr>
        <xdr:cNvPr id="4" name="Chart 2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114300</xdr:colOff>
      <xdr:row>56</xdr:row>
      <xdr:rowOff>19050</xdr:rowOff>
    </xdr:from>
    <xdr:to>
      <xdr:col>29</xdr:col>
      <xdr:colOff>523875</xdr:colOff>
      <xdr:row>72</xdr:row>
      <xdr:rowOff>142875</xdr:rowOff>
    </xdr:to>
    <xdr:graphicFrame macro="">
      <xdr:nvGraphicFramePr>
        <xdr:cNvPr id="5" name="Chart 3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19050</xdr:colOff>
      <xdr:row>56</xdr:row>
      <xdr:rowOff>19050</xdr:rowOff>
    </xdr:from>
    <xdr:to>
      <xdr:col>34</xdr:col>
      <xdr:colOff>666750</xdr:colOff>
      <xdr:row>73</xdr:row>
      <xdr:rowOff>38100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vironment%20Canada\Jenelle%20EC\MeHg%20Distillation%20&amp;%20Analysis\Digestions\Done\25-26June2013%20Invertebrates%20Digestion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arolynT\Desktop\Carolyn's%20work\MeHg%20analysis\Excel%20Files\digestions\templates\August%202009\25-26Aug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vironment%20Canada\Jenelle%20EC\MeHg%20Distillation%20&amp;%20Analysis\Digestions\Done\9-10July2013%20Invertebrates%20Digestion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vironment%20Canada\Jenelle%20EC\MeHg%20Distillation%20&amp;%20Analysis\Digestions\Done\25-26July2013%20Invertebrates%20Digestion%203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Christina%20Suzanne\Documents\Christina%20Suzanne%20-%20School%20and%20Master's\MastersResearch\Research%20and%20OS%20info\Sample%20Processing,%20Data%20and%20Results%202012\Hg%20Inverts%202012\13-14August2013%20Digestion%20Inverts%20&amp;%20Dragonfly.xls?69760038" TargetMode="External"/><Relationship Id="rId1" Type="http://schemas.openxmlformats.org/officeDocument/2006/relationships/externalLinkPath" Target="file:///\\69760038\13-14August2013%20Digestion%20Inverts%20&amp;%20Dragonf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 info"/>
      <sheetName val="Biota samples"/>
      <sheetName val="Calibration curves "/>
      <sheetName val="new vs. old values"/>
    </sheetNames>
    <sheetDataSet>
      <sheetData sheetId="0"/>
      <sheetData sheetId="1"/>
      <sheetData sheetId="2">
        <row r="7">
          <cell r="A7">
            <v>0</v>
          </cell>
          <cell r="B7">
            <v>50</v>
          </cell>
          <cell r="C7">
            <v>43</v>
          </cell>
        </row>
        <row r="8">
          <cell r="A8">
            <v>0.5</v>
          </cell>
          <cell r="B8">
            <v>178</v>
          </cell>
          <cell r="C8">
            <v>178</v>
          </cell>
        </row>
        <row r="9">
          <cell r="A9">
            <v>1</v>
          </cell>
          <cell r="B9">
            <v>332</v>
          </cell>
          <cell r="C9">
            <v>335</v>
          </cell>
        </row>
        <row r="10">
          <cell r="A10">
            <v>2</v>
          </cell>
          <cell r="B10">
            <v>674</v>
          </cell>
          <cell r="C10">
            <v>693</v>
          </cell>
        </row>
        <row r="11">
          <cell r="A11">
            <v>5</v>
          </cell>
          <cell r="B11">
            <v>1721</v>
          </cell>
          <cell r="C11">
            <v>1565</v>
          </cell>
        </row>
        <row r="12">
          <cell r="A12">
            <v>10</v>
          </cell>
          <cell r="B12">
            <v>3297</v>
          </cell>
          <cell r="C12">
            <v>3317</v>
          </cell>
        </row>
        <row r="13">
          <cell r="A13">
            <v>50</v>
          </cell>
          <cell r="B13">
            <v>16572</v>
          </cell>
          <cell r="C13">
            <v>16450</v>
          </cell>
        </row>
        <row r="14">
          <cell r="A14">
            <v>200</v>
          </cell>
        </row>
        <row r="15">
          <cell r="A15">
            <v>500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 info"/>
      <sheetName val="Water samples"/>
      <sheetName val="Calibration curves "/>
    </sheetNames>
    <sheetDataSet>
      <sheetData sheetId="0" refreshError="1"/>
      <sheetData sheetId="1" refreshError="1"/>
      <sheetData sheetId="2">
        <row r="7">
          <cell r="A7">
            <v>0</v>
          </cell>
          <cell r="D7">
            <v>47</v>
          </cell>
        </row>
        <row r="8">
          <cell r="A8">
            <v>0.5</v>
          </cell>
          <cell r="D8">
            <v>187</v>
          </cell>
        </row>
        <row r="9">
          <cell r="A9">
            <v>1</v>
          </cell>
          <cell r="D9">
            <v>349</v>
          </cell>
        </row>
        <row r="10">
          <cell r="A10">
            <v>2</v>
          </cell>
          <cell r="D10">
            <v>679</v>
          </cell>
        </row>
        <row r="11">
          <cell r="A11">
            <v>10</v>
          </cell>
          <cell r="D11">
            <v>3073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 info"/>
      <sheetName val="Biota samples"/>
      <sheetName val="Calibration curves "/>
      <sheetName val="new vs. old values"/>
    </sheetNames>
    <sheetDataSet>
      <sheetData sheetId="0">
        <row r="3">
          <cell r="C3">
            <v>1.03</v>
          </cell>
        </row>
      </sheetData>
      <sheetData sheetId="1"/>
      <sheetData sheetId="2">
        <row r="7">
          <cell r="A7">
            <v>0</v>
          </cell>
          <cell r="B7">
            <v>42</v>
          </cell>
          <cell r="C7">
            <v>43</v>
          </cell>
        </row>
        <row r="8">
          <cell r="A8">
            <v>0.5</v>
          </cell>
          <cell r="B8">
            <v>169</v>
          </cell>
          <cell r="C8">
            <v>178</v>
          </cell>
        </row>
        <row r="9">
          <cell r="A9">
            <v>1</v>
          </cell>
          <cell r="B9">
            <v>296</v>
          </cell>
          <cell r="C9">
            <v>335</v>
          </cell>
        </row>
        <row r="10">
          <cell r="A10">
            <v>2</v>
          </cell>
          <cell r="B10">
            <v>625</v>
          </cell>
          <cell r="C10">
            <v>693</v>
          </cell>
        </row>
        <row r="11">
          <cell r="A11">
            <v>5</v>
          </cell>
          <cell r="B11">
            <v>1542</v>
          </cell>
          <cell r="C11">
            <v>1565</v>
          </cell>
        </row>
        <row r="12">
          <cell r="A12">
            <v>10</v>
          </cell>
          <cell r="B12">
            <v>3123</v>
          </cell>
          <cell r="C12">
            <v>3317</v>
          </cell>
        </row>
        <row r="13">
          <cell r="A13">
            <v>50</v>
          </cell>
          <cell r="B13">
            <v>15512</v>
          </cell>
          <cell r="C13">
            <v>16450</v>
          </cell>
        </row>
        <row r="14">
          <cell r="A14">
            <v>200</v>
          </cell>
        </row>
        <row r="15">
          <cell r="A15">
            <v>500</v>
          </cell>
        </row>
        <row r="18">
          <cell r="B18">
            <v>310.03513247567332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 info"/>
      <sheetName val="Biota samples"/>
      <sheetName val="Calibration curves "/>
      <sheetName val="new vs. old values"/>
    </sheetNames>
    <sheetDataSet>
      <sheetData sheetId="0">
        <row r="3">
          <cell r="C3">
            <v>1.03</v>
          </cell>
        </row>
      </sheetData>
      <sheetData sheetId="1"/>
      <sheetData sheetId="2">
        <row r="7">
          <cell r="A7">
            <v>0</v>
          </cell>
          <cell r="B7">
            <v>58</v>
          </cell>
          <cell r="C7">
            <v>43</v>
          </cell>
        </row>
        <row r="8">
          <cell r="A8">
            <v>0.5</v>
          </cell>
          <cell r="B8">
            <v>163</v>
          </cell>
          <cell r="C8">
            <v>178</v>
          </cell>
        </row>
        <row r="9">
          <cell r="A9">
            <v>1</v>
          </cell>
          <cell r="B9">
            <v>380</v>
          </cell>
          <cell r="C9">
            <v>335</v>
          </cell>
        </row>
        <row r="10">
          <cell r="A10">
            <v>2</v>
          </cell>
          <cell r="B10">
            <v>767</v>
          </cell>
          <cell r="C10">
            <v>693</v>
          </cell>
        </row>
        <row r="11">
          <cell r="A11">
            <v>5</v>
          </cell>
          <cell r="B11">
            <v>1647</v>
          </cell>
          <cell r="C11">
            <v>1565</v>
          </cell>
        </row>
        <row r="12">
          <cell r="A12">
            <v>10</v>
          </cell>
          <cell r="B12">
            <v>3246</v>
          </cell>
          <cell r="C12">
            <v>3317</v>
          </cell>
        </row>
        <row r="13">
          <cell r="A13">
            <v>50</v>
          </cell>
          <cell r="B13">
            <v>15817</v>
          </cell>
          <cell r="C13">
            <v>16450</v>
          </cell>
        </row>
        <row r="14">
          <cell r="A14">
            <v>200</v>
          </cell>
        </row>
        <row r="15">
          <cell r="A15">
            <v>500</v>
          </cell>
        </row>
        <row r="18">
          <cell r="B18">
            <v>315.05816538503586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 info"/>
      <sheetName val="Biota samples"/>
      <sheetName val="Calibration curves "/>
      <sheetName val="new vs. old values"/>
    </sheetNames>
    <sheetDataSet>
      <sheetData sheetId="0">
        <row r="3">
          <cell r="C3">
            <v>1.03</v>
          </cell>
        </row>
      </sheetData>
      <sheetData sheetId="1"/>
      <sheetData sheetId="2">
        <row r="7">
          <cell r="A7">
            <v>0</v>
          </cell>
          <cell r="B7">
            <v>50</v>
          </cell>
          <cell r="C7">
            <v>43</v>
          </cell>
        </row>
        <row r="8">
          <cell r="A8">
            <v>0.5</v>
          </cell>
          <cell r="B8">
            <v>191</v>
          </cell>
          <cell r="C8">
            <v>178</v>
          </cell>
        </row>
        <row r="9">
          <cell r="A9">
            <v>1</v>
          </cell>
          <cell r="B9">
            <v>337</v>
          </cell>
          <cell r="C9">
            <v>335</v>
          </cell>
        </row>
        <row r="10">
          <cell r="A10">
            <v>2</v>
          </cell>
          <cell r="B10">
            <v>688</v>
          </cell>
          <cell r="C10">
            <v>693</v>
          </cell>
        </row>
        <row r="11">
          <cell r="A11">
            <v>5</v>
          </cell>
          <cell r="B11">
            <v>1663</v>
          </cell>
          <cell r="C11">
            <v>1565</v>
          </cell>
        </row>
        <row r="12">
          <cell r="A12">
            <v>10</v>
          </cell>
          <cell r="B12">
            <v>3235</v>
          </cell>
          <cell r="C12">
            <v>3317</v>
          </cell>
        </row>
        <row r="13">
          <cell r="A13">
            <v>50</v>
          </cell>
          <cell r="B13">
            <v>16705</v>
          </cell>
          <cell r="C13">
            <v>16450</v>
          </cell>
        </row>
        <row r="14">
          <cell r="A14">
            <v>200</v>
          </cell>
        </row>
        <row r="15">
          <cell r="A15">
            <v>500</v>
          </cell>
        </row>
        <row r="18">
          <cell r="B18">
            <v>333.65195524618241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C1B1-38CC-47E0-AB49-33DFFD2463E3}">
  <dimension ref="A1:D9"/>
  <sheetViews>
    <sheetView zoomScale="80" zoomScaleNormal="80" workbookViewId="0">
      <selection activeCell="J18" sqref="J18"/>
    </sheetView>
  </sheetViews>
  <sheetFormatPr defaultRowHeight="14.4" x14ac:dyDescent="0.3"/>
  <cols>
    <col min="1" max="2" width="11.36328125" style="201" bestFit="1" customWidth="1"/>
    <col min="3" max="3" width="7.36328125" style="201" bestFit="1" customWidth="1"/>
    <col min="4" max="4" width="8.7265625" style="201" bestFit="1" customWidth="1"/>
    <col min="5" max="16384" width="8.7265625" style="201"/>
  </cols>
  <sheetData>
    <row r="1" spans="1:4" x14ac:dyDescent="0.3">
      <c r="A1" s="201" t="s">
        <v>328</v>
      </c>
      <c r="B1" s="201" t="s">
        <v>329</v>
      </c>
      <c r="C1" s="201" t="s">
        <v>330</v>
      </c>
      <c r="D1" s="201" t="s">
        <v>331</v>
      </c>
    </row>
    <row r="2" spans="1:4" x14ac:dyDescent="0.3">
      <c r="A2" s="201" t="s">
        <v>332</v>
      </c>
      <c r="B2" s="201" t="s">
        <v>333</v>
      </c>
      <c r="C2" s="201">
        <v>57.24456</v>
      </c>
      <c r="D2" s="201">
        <v>-111.7047</v>
      </c>
    </row>
    <row r="3" spans="1:4" x14ac:dyDescent="0.3">
      <c r="A3" s="201" t="s">
        <v>334</v>
      </c>
      <c r="B3" s="201" t="s">
        <v>335</v>
      </c>
      <c r="C3" s="201">
        <v>57.280670000000001</v>
      </c>
      <c r="D3" s="201">
        <v>-111.73656</v>
      </c>
    </row>
    <row r="4" spans="1:4" x14ac:dyDescent="0.3">
      <c r="A4" s="201" t="s">
        <v>336</v>
      </c>
      <c r="B4" s="201" t="s">
        <v>337</v>
      </c>
      <c r="C4" s="201">
        <v>57.227699999999999</v>
      </c>
      <c r="D4" s="201">
        <v>-111.95911</v>
      </c>
    </row>
    <row r="5" spans="1:4" x14ac:dyDescent="0.3">
      <c r="A5" s="201" t="s">
        <v>338</v>
      </c>
      <c r="B5" s="201" t="s">
        <v>339</v>
      </c>
      <c r="C5" s="201">
        <v>57.15128</v>
      </c>
      <c r="D5" s="201">
        <v>-112.1735</v>
      </c>
    </row>
    <row r="6" spans="1:4" x14ac:dyDescent="0.3">
      <c r="A6" s="201" t="s">
        <v>340</v>
      </c>
      <c r="B6" s="201" t="s">
        <v>341</v>
      </c>
      <c r="C6" s="201">
        <v>57.023180000000004</v>
      </c>
      <c r="D6" s="201">
        <v>-111.47572</v>
      </c>
    </row>
    <row r="7" spans="1:4" x14ac:dyDescent="0.3">
      <c r="A7" s="201" t="s">
        <v>342</v>
      </c>
      <c r="B7" s="201" t="s">
        <v>343</v>
      </c>
      <c r="C7" s="201">
        <v>56.999450000000003</v>
      </c>
      <c r="D7" s="201">
        <v>-111.40658000000001</v>
      </c>
    </row>
    <row r="8" spans="1:4" x14ac:dyDescent="0.3">
      <c r="A8" s="201" t="s">
        <v>344</v>
      </c>
      <c r="B8" s="201" t="s">
        <v>345</v>
      </c>
      <c r="C8" s="201">
        <v>56.979529999999997</v>
      </c>
      <c r="D8" s="201">
        <v>-111.29864999999999</v>
      </c>
    </row>
    <row r="9" spans="1:4" x14ac:dyDescent="0.3">
      <c r="A9" s="201" t="s">
        <v>346</v>
      </c>
      <c r="B9" s="201" t="s">
        <v>347</v>
      </c>
      <c r="C9" s="201">
        <v>56.868810000000003</v>
      </c>
      <c r="D9" s="201">
        <v>-111.14247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5"/>
  <sheetViews>
    <sheetView topLeftCell="D19" zoomScale="80" zoomScaleNormal="80" workbookViewId="0">
      <selection activeCell="D7" sqref="D7"/>
    </sheetView>
  </sheetViews>
  <sheetFormatPr defaultColWidth="8.90625" defaultRowHeight="14.4" x14ac:dyDescent="0.3"/>
  <cols>
    <col min="1" max="1" width="12.6328125" style="10" bestFit="1" customWidth="1"/>
    <col min="2" max="2" width="15.54296875" style="2" bestFit="1" customWidth="1"/>
    <col min="3" max="3" width="7.90625" style="2" bestFit="1" customWidth="1"/>
    <col min="4" max="4" width="9.453125" style="2" bestFit="1" customWidth="1"/>
    <col min="5" max="5" width="8.08984375" style="2" bestFit="1" customWidth="1"/>
    <col min="6" max="6" width="5.90625" style="2" bestFit="1" customWidth="1"/>
    <col min="7" max="7" width="11.1796875" style="2" bestFit="1" customWidth="1"/>
    <col min="8" max="8" width="16.1796875" style="2" bestFit="1" customWidth="1"/>
    <col min="9" max="9" width="10.81640625" style="2" bestFit="1" customWidth="1"/>
    <col min="10" max="10" width="10" style="2" bestFit="1" customWidth="1"/>
    <col min="11" max="11" width="5.36328125" style="2" bestFit="1" customWidth="1"/>
    <col min="12" max="12" width="13.1796875" style="2" bestFit="1" customWidth="1"/>
    <col min="13" max="14" width="9.36328125" style="2" bestFit="1" customWidth="1"/>
    <col min="15" max="15" width="11" style="2" bestFit="1" customWidth="1"/>
    <col min="16" max="16" width="5.90625" style="2" bestFit="1" customWidth="1"/>
    <col min="17" max="17" width="10.90625" style="2" bestFit="1" customWidth="1"/>
    <col min="18" max="18" width="8.90625" style="2"/>
    <col min="19" max="19" width="12.1796875" style="10" bestFit="1" customWidth="1"/>
    <col min="20" max="20" width="9.36328125" style="2" bestFit="1" customWidth="1"/>
    <col min="21" max="21" width="11.54296875" style="2" bestFit="1" customWidth="1"/>
    <col min="22" max="22" width="14" style="2" bestFit="1" customWidth="1"/>
    <col min="23" max="23" width="11.81640625" style="2" bestFit="1" customWidth="1"/>
    <col min="24" max="24" width="10.1796875" style="2" bestFit="1" customWidth="1"/>
    <col min="25" max="25" width="24.08984375" style="2" bestFit="1" customWidth="1"/>
    <col min="26" max="26" width="24.90625" style="2" bestFit="1" customWidth="1"/>
    <col min="27" max="27" width="20" style="2" bestFit="1" customWidth="1"/>
    <col min="28" max="28" width="28.08984375" style="2" bestFit="1" customWidth="1"/>
    <col min="29" max="29" width="2.453125" style="2" bestFit="1" customWidth="1"/>
    <col min="30" max="30" width="20.90625" style="2" bestFit="1" customWidth="1"/>
    <col min="31" max="31" width="24.54296875" style="2" bestFit="1" customWidth="1"/>
    <col min="32" max="16384" width="8.90625" style="2"/>
  </cols>
  <sheetData>
    <row r="1" spans="1:32" ht="15.6" thickTop="1" thickBot="1" x14ac:dyDescent="0.35">
      <c r="A1" s="19" t="s">
        <v>32</v>
      </c>
      <c r="B1" s="20">
        <v>41450</v>
      </c>
      <c r="C1" s="21"/>
      <c r="D1" s="21"/>
      <c r="E1" s="22"/>
      <c r="F1" s="22"/>
      <c r="G1" s="23"/>
      <c r="H1" s="23"/>
      <c r="I1" s="23"/>
      <c r="J1" s="23"/>
      <c r="K1" s="23"/>
      <c r="L1" s="22"/>
      <c r="M1" s="14"/>
      <c r="N1" s="14"/>
      <c r="O1" s="14"/>
      <c r="P1" s="24"/>
      <c r="Q1" s="25"/>
      <c r="R1" s="14"/>
    </row>
    <row r="2" spans="1:32" ht="15" thickTop="1" x14ac:dyDescent="0.3">
      <c r="A2" s="26"/>
      <c r="B2" s="22"/>
      <c r="C2" s="22"/>
      <c r="D2" s="22"/>
      <c r="E2" s="22"/>
      <c r="F2" s="22"/>
      <c r="G2" s="23"/>
      <c r="H2" s="23"/>
      <c r="I2" s="23"/>
      <c r="J2" s="23"/>
      <c r="K2" s="23"/>
      <c r="L2" s="22"/>
      <c r="M2" s="14"/>
      <c r="N2" s="14"/>
      <c r="O2" s="14"/>
      <c r="P2" s="24"/>
      <c r="Q2" s="25"/>
      <c r="R2" s="14"/>
    </row>
    <row r="3" spans="1:32" ht="15" thickBot="1" x14ac:dyDescent="0.35">
      <c r="A3" s="27" t="s">
        <v>33</v>
      </c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M3" s="30"/>
      <c r="N3" s="30"/>
      <c r="O3" s="30"/>
      <c r="P3" s="31"/>
      <c r="Q3" s="32"/>
      <c r="R3" s="30"/>
      <c r="T3" s="33"/>
      <c r="U3" s="33"/>
      <c r="V3" s="33"/>
      <c r="W3" s="33"/>
    </row>
    <row r="4" spans="1:32" ht="15" thickTop="1" x14ac:dyDescent="0.3">
      <c r="A4" s="35" t="s">
        <v>34</v>
      </c>
      <c r="B4" s="36" t="s">
        <v>35</v>
      </c>
      <c r="C4" s="37" t="s">
        <v>4</v>
      </c>
      <c r="D4" s="37" t="s">
        <v>36</v>
      </c>
      <c r="E4" s="38" t="s">
        <v>37</v>
      </c>
      <c r="F4" s="38" t="s">
        <v>38</v>
      </c>
      <c r="G4" s="38" t="s">
        <v>39</v>
      </c>
      <c r="H4" s="38" t="s">
        <v>39</v>
      </c>
      <c r="I4" s="38" t="s">
        <v>40</v>
      </c>
      <c r="J4" s="42" t="s">
        <v>41</v>
      </c>
      <c r="K4" s="38"/>
      <c r="L4" s="43" t="s">
        <v>42</v>
      </c>
      <c r="M4" s="44"/>
      <c r="N4" s="45" t="s">
        <v>43</v>
      </c>
      <c r="O4" s="45" t="s">
        <v>43</v>
      </c>
      <c r="P4" s="46"/>
      <c r="Q4" s="47"/>
      <c r="R4" s="14"/>
      <c r="S4" s="48"/>
      <c r="T4" s="180"/>
      <c r="U4" s="49"/>
      <c r="V4" s="14"/>
      <c r="W4" s="202" t="s">
        <v>84</v>
      </c>
      <c r="X4" s="202"/>
      <c r="Y4" s="34"/>
      <c r="Z4" s="34"/>
      <c r="AA4" s="34"/>
    </row>
    <row r="5" spans="1:32" x14ac:dyDescent="0.3">
      <c r="A5" s="51" t="s">
        <v>44</v>
      </c>
      <c r="B5" s="52"/>
      <c r="C5" s="53"/>
      <c r="D5" s="53"/>
      <c r="E5" s="54" t="s">
        <v>45</v>
      </c>
      <c r="F5" s="54" t="s">
        <v>45</v>
      </c>
      <c r="G5" s="54" t="s">
        <v>46</v>
      </c>
      <c r="H5" s="54" t="s">
        <v>47</v>
      </c>
      <c r="I5" s="54" t="s">
        <v>48</v>
      </c>
      <c r="J5" s="28"/>
      <c r="K5" s="54" t="s">
        <v>49</v>
      </c>
      <c r="L5" s="54" t="s">
        <v>50</v>
      </c>
      <c r="M5" s="55"/>
      <c r="N5" s="56" t="s">
        <v>51</v>
      </c>
      <c r="O5" s="56" t="s">
        <v>52</v>
      </c>
      <c r="P5" s="57" t="s">
        <v>53</v>
      </c>
      <c r="Q5" s="58" t="s">
        <v>54</v>
      </c>
      <c r="R5" s="14"/>
      <c r="S5" s="59" t="s">
        <v>55</v>
      </c>
      <c r="T5" s="59" t="s">
        <v>56</v>
      </c>
      <c r="U5" s="59" t="s">
        <v>57</v>
      </c>
      <c r="V5" s="14"/>
      <c r="W5" s="50" t="s">
        <v>85</v>
      </c>
      <c r="X5" s="50" t="s">
        <v>86</v>
      </c>
      <c r="Y5" s="50" t="s">
        <v>87</v>
      </c>
      <c r="Z5" s="50" t="s">
        <v>88</v>
      </c>
      <c r="AA5" s="50" t="s">
        <v>89</v>
      </c>
    </row>
    <row r="6" spans="1:32" ht="15" thickBot="1" x14ac:dyDescent="0.35">
      <c r="A6" s="63"/>
      <c r="B6" s="64"/>
      <c r="C6" s="65"/>
      <c r="D6" s="65"/>
      <c r="E6" s="66" t="s">
        <v>58</v>
      </c>
      <c r="F6" s="66" t="s">
        <v>58</v>
      </c>
      <c r="G6" s="66" t="s">
        <v>58</v>
      </c>
      <c r="H6" s="66" t="s">
        <v>58</v>
      </c>
      <c r="I6" s="66"/>
      <c r="J6" s="67"/>
      <c r="K6" s="66" t="s">
        <v>59</v>
      </c>
      <c r="L6" s="68" t="s">
        <v>60</v>
      </c>
      <c r="M6" s="69" t="s">
        <v>61</v>
      </c>
      <c r="N6" s="70" t="s">
        <v>62</v>
      </c>
      <c r="O6" s="70" t="s">
        <v>63</v>
      </c>
      <c r="P6" s="71" t="s">
        <v>64</v>
      </c>
      <c r="Q6" s="72" t="s">
        <v>65</v>
      </c>
      <c r="R6" s="14"/>
      <c r="S6" s="73" t="s">
        <v>66</v>
      </c>
      <c r="T6" s="73" t="s">
        <v>67</v>
      </c>
      <c r="U6" s="73" t="s">
        <v>68</v>
      </c>
      <c r="V6" s="14"/>
      <c r="W6" s="60" t="s">
        <v>90</v>
      </c>
      <c r="X6" s="61">
        <v>5</v>
      </c>
      <c r="Y6" s="61">
        <v>1.03</v>
      </c>
      <c r="Z6" s="61">
        <v>1.1100000000000001</v>
      </c>
      <c r="AA6" s="62">
        <v>1.0588106510274491</v>
      </c>
    </row>
    <row r="7" spans="1:32" ht="15" thickTop="1" x14ac:dyDescent="0.3">
      <c r="A7" s="74">
        <v>1</v>
      </c>
      <c r="B7" s="74" t="s">
        <v>69</v>
      </c>
      <c r="C7" s="74"/>
      <c r="D7" s="74"/>
      <c r="E7" s="81">
        <v>16.082899999999999</v>
      </c>
      <c r="F7" s="76" t="s">
        <v>70</v>
      </c>
      <c r="G7" s="76">
        <v>21.9452</v>
      </c>
      <c r="H7" s="77">
        <v>21.9453</v>
      </c>
      <c r="I7" s="76">
        <v>0.15</v>
      </c>
      <c r="J7" s="78">
        <v>41451</v>
      </c>
      <c r="K7" s="76">
        <v>64</v>
      </c>
      <c r="L7" s="74">
        <f t="shared" ref="L7:L45" si="0">K7*(5/(5-(G7-H7)))</f>
        <v>63.998720025599489</v>
      </c>
      <c r="M7" s="74">
        <v>1.9919354291451772E-4</v>
      </c>
      <c r="N7" s="74">
        <v>6.639784763817257E-3</v>
      </c>
      <c r="O7" s="74"/>
      <c r="P7" s="79"/>
      <c r="Q7" s="80"/>
      <c r="R7" s="14"/>
      <c r="S7" s="16"/>
      <c r="T7" s="14"/>
      <c r="U7" s="14"/>
      <c r="V7" s="14"/>
    </row>
    <row r="8" spans="1:32" x14ac:dyDescent="0.3">
      <c r="A8" s="74">
        <v>2</v>
      </c>
      <c r="B8" s="74" t="s">
        <v>69</v>
      </c>
      <c r="C8" s="74"/>
      <c r="D8" s="74"/>
      <c r="E8" s="81">
        <v>15.9947</v>
      </c>
      <c r="F8" s="76" t="s">
        <v>70</v>
      </c>
      <c r="G8" s="82">
        <v>21.849499999999999</v>
      </c>
      <c r="H8" s="82">
        <v>21.849599999999999</v>
      </c>
      <c r="I8" s="76">
        <v>0.15</v>
      </c>
      <c r="J8" s="78">
        <v>41451</v>
      </c>
      <c r="K8" s="82">
        <v>44</v>
      </c>
      <c r="L8" s="74">
        <f t="shared" si="0"/>
        <v>43.999120017599651</v>
      </c>
      <c r="M8" s="74">
        <v>1.3694556075373094E-4</v>
      </c>
      <c r="N8" s="74">
        <v>4.5648520251243647E-3</v>
      </c>
      <c r="O8" s="74"/>
      <c r="P8" s="79"/>
      <c r="Q8" s="80"/>
      <c r="R8" s="14"/>
      <c r="S8" s="16"/>
      <c r="T8" s="14"/>
      <c r="U8" s="14"/>
      <c r="V8" s="14"/>
    </row>
    <row r="9" spans="1:32" x14ac:dyDescent="0.3">
      <c r="A9" s="74">
        <v>3</v>
      </c>
      <c r="B9" s="74" t="s">
        <v>71</v>
      </c>
      <c r="C9" s="74"/>
      <c r="D9" s="74"/>
      <c r="E9" s="75">
        <v>16.1035</v>
      </c>
      <c r="F9" s="76" t="s">
        <v>70</v>
      </c>
      <c r="G9" s="82">
        <v>22.0031</v>
      </c>
      <c r="H9" s="87">
        <v>22.0031</v>
      </c>
      <c r="I9" s="76">
        <v>0.15</v>
      </c>
      <c r="J9" s="78">
        <v>41451</v>
      </c>
      <c r="K9" s="82">
        <v>20304</v>
      </c>
      <c r="L9" s="74">
        <f t="shared" si="0"/>
        <v>20304</v>
      </c>
      <c r="M9" s="74">
        <v>6.3195415372660546E-2</v>
      </c>
      <c r="N9" s="74">
        <v>2.1065138457553516</v>
      </c>
      <c r="O9" s="74">
        <v>2.1009115273608807</v>
      </c>
      <c r="P9" s="79"/>
      <c r="Q9" s="88">
        <v>105.04557636804404</v>
      </c>
      <c r="R9" s="14"/>
      <c r="S9" s="16"/>
      <c r="T9" s="14"/>
      <c r="U9" s="14"/>
      <c r="V9" s="14"/>
      <c r="W9" s="83" t="s">
        <v>91</v>
      </c>
      <c r="X9" s="84"/>
      <c r="Y9" s="85">
        <v>41451</v>
      </c>
      <c r="Z9" s="84"/>
      <c r="AA9" s="84"/>
      <c r="AB9" s="84"/>
      <c r="AC9" s="84"/>
      <c r="AD9" s="86"/>
      <c r="AE9" s="14"/>
      <c r="AF9" s="14"/>
    </row>
    <row r="10" spans="1:32" x14ac:dyDescent="0.3">
      <c r="A10" s="74">
        <v>4</v>
      </c>
      <c r="B10" s="74" t="s">
        <v>71</v>
      </c>
      <c r="C10" s="74"/>
      <c r="D10" s="74"/>
      <c r="E10" s="75">
        <v>16.051300000000001</v>
      </c>
      <c r="F10" s="76" t="s">
        <v>70</v>
      </c>
      <c r="G10" s="87">
        <v>21.962</v>
      </c>
      <c r="H10" s="87">
        <v>21.962299999999999</v>
      </c>
      <c r="I10" s="76">
        <v>0.15</v>
      </c>
      <c r="J10" s="78">
        <v>41451</v>
      </c>
      <c r="K10" s="82">
        <v>20075</v>
      </c>
      <c r="L10" s="74">
        <f t="shared" si="0"/>
        <v>20073.795572265666</v>
      </c>
      <c r="M10" s="74">
        <v>6.2478912987352378E-2</v>
      </c>
      <c r="N10" s="74">
        <v>2.082630432911746</v>
      </c>
      <c r="O10" s="74">
        <v>2.0770281145172751</v>
      </c>
      <c r="P10" s="79"/>
      <c r="Q10" s="88">
        <v>103.85140572586376</v>
      </c>
      <c r="R10" s="14"/>
      <c r="S10" s="16"/>
      <c r="T10" s="14"/>
      <c r="U10" s="14"/>
      <c r="V10" s="14"/>
      <c r="W10" s="14"/>
      <c r="X10" s="89"/>
      <c r="Y10" s="89"/>
      <c r="Z10" s="89"/>
      <c r="AA10" s="90"/>
      <c r="AB10" s="91"/>
      <c r="AC10" s="91"/>
      <c r="AD10" s="92"/>
      <c r="AE10" s="93"/>
      <c r="AF10" s="14"/>
    </row>
    <row r="11" spans="1:32" x14ac:dyDescent="0.3">
      <c r="A11" s="74">
        <v>5</v>
      </c>
      <c r="B11" s="74" t="s">
        <v>71</v>
      </c>
      <c r="C11" s="74"/>
      <c r="D11" s="74"/>
      <c r="E11" s="81">
        <v>16.028300000000002</v>
      </c>
      <c r="F11" s="76" t="s">
        <v>70</v>
      </c>
      <c r="G11" s="82">
        <v>21.934200000000001</v>
      </c>
      <c r="H11" s="87">
        <v>21.9343</v>
      </c>
      <c r="I11" s="76">
        <v>0.15</v>
      </c>
      <c r="J11" s="78">
        <v>41451</v>
      </c>
      <c r="K11" s="82">
        <v>20663</v>
      </c>
      <c r="L11" s="74">
        <f t="shared" si="0"/>
        <v>20662.586748265036</v>
      </c>
      <c r="M11" s="74">
        <v>6.431150276941687E-2</v>
      </c>
      <c r="N11" s="74">
        <v>2.1437167589805624</v>
      </c>
      <c r="O11" s="74">
        <v>2.1381144405860915</v>
      </c>
      <c r="P11" s="79"/>
      <c r="Q11" s="88">
        <v>106.90572202930457</v>
      </c>
      <c r="R11" s="14"/>
      <c r="S11" s="16"/>
      <c r="T11" s="14"/>
      <c r="U11" s="14"/>
      <c r="V11" s="14"/>
      <c r="W11" s="94" t="s">
        <v>92</v>
      </c>
      <c r="X11" s="95" t="s">
        <v>93</v>
      </c>
      <c r="Y11" s="95" t="s">
        <v>94</v>
      </c>
      <c r="Z11" s="96" t="s">
        <v>95</v>
      </c>
      <c r="AA11" s="90"/>
      <c r="AB11" s="97" t="s">
        <v>96</v>
      </c>
      <c r="AC11" s="98" t="s">
        <v>97</v>
      </c>
      <c r="AD11" s="98" t="s">
        <v>98</v>
      </c>
      <c r="AE11" s="96" t="s">
        <v>99</v>
      </c>
      <c r="AF11" s="14"/>
    </row>
    <row r="12" spans="1:32" ht="15" customHeight="1" x14ac:dyDescent="0.3">
      <c r="A12" s="74">
        <v>6</v>
      </c>
      <c r="B12" s="74" t="s">
        <v>72</v>
      </c>
      <c r="C12" s="74"/>
      <c r="D12" s="74"/>
      <c r="E12" s="81">
        <v>15.9961</v>
      </c>
      <c r="F12" s="82">
        <v>2.64E-2</v>
      </c>
      <c r="G12" s="82">
        <v>21.887799999999999</v>
      </c>
      <c r="H12" s="82">
        <v>21.886700000000001</v>
      </c>
      <c r="I12" s="76">
        <v>0.15</v>
      </c>
      <c r="J12" s="78">
        <v>41451</v>
      </c>
      <c r="K12" s="82">
        <v>33672</v>
      </c>
      <c r="L12" s="74">
        <f t="shared" si="0"/>
        <v>33679.409470083403</v>
      </c>
      <c r="M12" s="74">
        <v>0.10482586046925914</v>
      </c>
      <c r="N12" s="74">
        <v>3.494195348975305</v>
      </c>
      <c r="O12" s="74">
        <v>3.4885930305808341</v>
      </c>
      <c r="P12" s="79">
        <v>132.14367540078916</v>
      </c>
      <c r="Q12" s="80"/>
      <c r="R12" s="14"/>
      <c r="S12" s="16">
        <f>P12*1.063</f>
        <v>140.46872695103886</v>
      </c>
      <c r="T12" s="14">
        <f>AVERAGE(S12:S14)</f>
        <v>140.87697373716753</v>
      </c>
      <c r="U12" s="99" t="s">
        <v>73</v>
      </c>
      <c r="V12" s="83" t="s">
        <v>72</v>
      </c>
      <c r="W12" s="101"/>
      <c r="X12" s="102" t="s">
        <v>100</v>
      </c>
      <c r="Y12" s="102" t="s">
        <v>100</v>
      </c>
      <c r="Z12" s="102"/>
      <c r="AA12" s="90"/>
      <c r="AB12" s="103"/>
      <c r="AC12" s="104"/>
      <c r="AD12" s="104" t="s">
        <v>100</v>
      </c>
      <c r="AE12" s="102" t="s">
        <v>101</v>
      </c>
      <c r="AF12" s="14"/>
    </row>
    <row r="13" spans="1:32" x14ac:dyDescent="0.3">
      <c r="A13" s="74">
        <v>7</v>
      </c>
      <c r="B13" s="74" t="s">
        <v>72</v>
      </c>
      <c r="C13" s="74"/>
      <c r="D13" s="74"/>
      <c r="E13" s="81">
        <v>16.083500000000001</v>
      </c>
      <c r="F13" s="87">
        <v>2.5999999999999999E-2</v>
      </c>
      <c r="G13" s="82">
        <v>21.9968</v>
      </c>
      <c r="H13" s="87">
        <v>21.9956</v>
      </c>
      <c r="I13" s="76">
        <v>0.15</v>
      </c>
      <c r="J13" s="78">
        <v>41451</v>
      </c>
      <c r="K13" s="82">
        <v>33506</v>
      </c>
      <c r="L13" s="74">
        <f t="shared" si="0"/>
        <v>33514.043370408901</v>
      </c>
      <c r="M13" s="74">
        <v>0.10431116487442627</v>
      </c>
      <c r="N13" s="74">
        <v>3.4770388291475425</v>
      </c>
      <c r="O13" s="74">
        <v>3.4714365107530716</v>
      </c>
      <c r="P13" s="79">
        <v>133.51678887511815</v>
      </c>
      <c r="Q13" s="80"/>
      <c r="R13" s="14"/>
      <c r="S13" s="16">
        <f>P13*1.063</f>
        <v>141.92834657425058</v>
      </c>
      <c r="T13" s="14"/>
      <c r="U13" s="113"/>
      <c r="V13" s="14"/>
      <c r="W13" s="106" t="s">
        <v>102</v>
      </c>
      <c r="X13" s="107">
        <v>50</v>
      </c>
      <c r="Y13" s="90">
        <v>43</v>
      </c>
      <c r="Z13" s="108">
        <v>47</v>
      </c>
      <c r="AA13" s="90"/>
      <c r="AB13" s="109" t="s">
        <v>103</v>
      </c>
      <c r="AC13" s="107">
        <v>5</v>
      </c>
      <c r="AD13" s="107">
        <v>1723</v>
      </c>
      <c r="AE13" s="191"/>
      <c r="AF13" s="14"/>
    </row>
    <row r="14" spans="1:32" x14ac:dyDescent="0.3">
      <c r="A14" s="74">
        <v>8</v>
      </c>
      <c r="B14" s="74" t="s">
        <v>72</v>
      </c>
      <c r="C14" s="74"/>
      <c r="D14" s="74"/>
      <c r="E14" s="82">
        <v>15.993600000000001</v>
      </c>
      <c r="F14" s="87">
        <v>2.5000000000000001E-2</v>
      </c>
      <c r="G14" s="82">
        <v>21.9023</v>
      </c>
      <c r="H14" s="87">
        <v>21.9023</v>
      </c>
      <c r="I14" s="76">
        <v>0.15</v>
      </c>
      <c r="J14" s="78">
        <v>41451</v>
      </c>
      <c r="K14" s="82">
        <v>31843</v>
      </c>
      <c r="L14" s="74">
        <f t="shared" si="0"/>
        <v>31843</v>
      </c>
      <c r="M14" s="74">
        <v>9.9110106959792638E-2</v>
      </c>
      <c r="N14" s="74">
        <v>3.3036702319930877</v>
      </c>
      <c r="O14" s="74">
        <v>3.2980679135986168</v>
      </c>
      <c r="P14" s="79">
        <v>131.92271654394466</v>
      </c>
      <c r="Q14" s="80"/>
      <c r="R14" s="14"/>
      <c r="S14" s="16">
        <f>P14*1.063</f>
        <v>140.23384768621315</v>
      </c>
      <c r="T14" s="14"/>
      <c r="U14" s="14"/>
      <c r="V14" s="14"/>
      <c r="W14" s="106" t="s">
        <v>102</v>
      </c>
      <c r="X14" s="90">
        <v>50</v>
      </c>
      <c r="Y14" s="90">
        <v>43</v>
      </c>
      <c r="Z14" s="108">
        <v>47</v>
      </c>
      <c r="AA14" s="90"/>
      <c r="AB14" s="114" t="s">
        <v>103</v>
      </c>
      <c r="AC14" s="90">
        <v>5</v>
      </c>
      <c r="AD14" s="90">
        <v>1675</v>
      </c>
      <c r="AE14" s="117"/>
      <c r="AF14" s="14"/>
    </row>
    <row r="15" spans="1:32" x14ac:dyDescent="0.3">
      <c r="A15" s="74">
        <v>9</v>
      </c>
      <c r="B15" s="74" t="s">
        <v>74</v>
      </c>
      <c r="C15" s="74" t="s">
        <v>8</v>
      </c>
      <c r="D15" s="112">
        <v>41150</v>
      </c>
      <c r="E15" s="82">
        <v>16.215499999999999</v>
      </c>
      <c r="F15" s="82">
        <v>3.0700000000000002E-2</v>
      </c>
      <c r="G15" s="82">
        <v>22.128399999999999</v>
      </c>
      <c r="H15" s="87">
        <v>22.126999999999999</v>
      </c>
      <c r="I15" s="76">
        <v>0.15</v>
      </c>
      <c r="J15" s="78">
        <v>41451</v>
      </c>
      <c r="K15" s="82">
        <v>10458</v>
      </c>
      <c r="L15" s="74">
        <f t="shared" si="0"/>
        <v>10460.929060136838</v>
      </c>
      <c r="M15" s="74">
        <v>3.2559237447758224E-2</v>
      </c>
      <c r="N15" s="74">
        <v>1.0853079149252742</v>
      </c>
      <c r="O15" s="74">
        <v>1.0797055965308033</v>
      </c>
      <c r="P15" s="79">
        <v>35.169563404912161</v>
      </c>
      <c r="Q15" s="80"/>
      <c r="R15" s="14"/>
      <c r="S15" s="118"/>
      <c r="T15" s="120"/>
      <c r="U15" s="119"/>
      <c r="V15" s="14"/>
      <c r="W15" s="116">
        <v>0</v>
      </c>
      <c r="X15" s="90">
        <f>AVERAGE(X13:X14)</f>
        <v>50</v>
      </c>
      <c r="Y15" s="90">
        <f>AVERAGE(Y13:Y14)</f>
        <v>43</v>
      </c>
      <c r="Z15" s="117">
        <f>AVERAGE(Z13:Z14)</f>
        <v>47</v>
      </c>
      <c r="AA15" s="90"/>
      <c r="AB15" s="114" t="s">
        <v>103</v>
      </c>
      <c r="AC15" s="90">
        <v>5</v>
      </c>
      <c r="AD15" s="90">
        <v>1677</v>
      </c>
      <c r="AE15" s="117"/>
      <c r="AF15" s="14"/>
    </row>
    <row r="16" spans="1:32" x14ac:dyDescent="0.3">
      <c r="A16" s="74">
        <v>10</v>
      </c>
      <c r="B16" s="74" t="s">
        <v>74</v>
      </c>
      <c r="C16" s="74" t="s">
        <v>8</v>
      </c>
      <c r="D16" s="112">
        <v>41150</v>
      </c>
      <c r="E16" s="87">
        <v>15.983000000000001</v>
      </c>
      <c r="F16" s="82">
        <v>1.46E-2</v>
      </c>
      <c r="G16" s="82">
        <v>21.878699999999998</v>
      </c>
      <c r="H16" s="82">
        <v>21.877099999999999</v>
      </c>
      <c r="I16" s="76">
        <v>0.15</v>
      </c>
      <c r="J16" s="78">
        <v>41451</v>
      </c>
      <c r="K16" s="82">
        <v>5392</v>
      </c>
      <c r="L16" s="74">
        <f t="shared" si="0"/>
        <v>5393.7259923175407</v>
      </c>
      <c r="M16" s="74">
        <v>1.6787763716057065E-2</v>
      </c>
      <c r="N16" s="74">
        <v>0.55959212386856882</v>
      </c>
      <c r="O16" s="74">
        <v>0.55398980547409804</v>
      </c>
      <c r="P16" s="79">
        <v>37.944507224253293</v>
      </c>
      <c r="Q16" s="80"/>
      <c r="R16" s="14"/>
      <c r="S16" s="118"/>
      <c r="T16" s="120"/>
      <c r="U16" s="119"/>
      <c r="V16" s="120"/>
      <c r="W16" s="116">
        <v>0.5</v>
      </c>
      <c r="X16" s="90">
        <v>178</v>
      </c>
      <c r="Y16" s="90">
        <v>178</v>
      </c>
      <c r="Z16" s="108">
        <v>187</v>
      </c>
      <c r="AA16" s="90"/>
      <c r="AB16" s="114" t="s">
        <v>103</v>
      </c>
      <c r="AC16" s="90">
        <v>5</v>
      </c>
      <c r="AD16" s="115">
        <v>1734</v>
      </c>
      <c r="AE16" s="108">
        <v>1881</v>
      </c>
      <c r="AF16" s="14"/>
    </row>
    <row r="17" spans="1:32" x14ac:dyDescent="0.3">
      <c r="A17" s="74">
        <v>11</v>
      </c>
      <c r="B17" s="74" t="s">
        <v>75</v>
      </c>
      <c r="C17" s="74" t="s">
        <v>8</v>
      </c>
      <c r="D17" s="112">
        <v>41150</v>
      </c>
      <c r="E17" s="87">
        <v>16.050799999999999</v>
      </c>
      <c r="F17" s="87">
        <v>2.9899999999999999E-2</v>
      </c>
      <c r="G17" s="82">
        <v>21.961099999999998</v>
      </c>
      <c r="H17" s="82">
        <v>21.959099999999999</v>
      </c>
      <c r="I17" s="76">
        <v>0.15</v>
      </c>
      <c r="J17" s="78">
        <v>41451</v>
      </c>
      <c r="K17" s="121">
        <v>9680</v>
      </c>
      <c r="L17" s="74">
        <f t="shared" si="0"/>
        <v>9683.8735494197645</v>
      </c>
      <c r="M17" s="74">
        <v>3.0140682199167778E-2</v>
      </c>
      <c r="N17" s="74">
        <v>1.004689406638926</v>
      </c>
      <c r="O17" s="74">
        <v>0.99908708824445525</v>
      </c>
      <c r="P17" s="79">
        <v>33.414283887774424</v>
      </c>
      <c r="Q17" s="122"/>
      <c r="R17" s="86"/>
      <c r="S17" s="118"/>
      <c r="T17" s="22"/>
      <c r="U17" s="26"/>
      <c r="V17" s="22"/>
      <c r="W17" s="116">
        <v>1</v>
      </c>
      <c r="X17" s="90">
        <v>332</v>
      </c>
      <c r="Y17" s="90">
        <v>335</v>
      </c>
      <c r="Z17" s="108">
        <v>349</v>
      </c>
      <c r="AA17" s="90"/>
      <c r="AB17" s="114" t="s">
        <v>103</v>
      </c>
      <c r="AC17" s="90">
        <v>5</v>
      </c>
      <c r="AD17" s="115">
        <v>1656</v>
      </c>
      <c r="AE17" s="108">
        <v>1817</v>
      </c>
      <c r="AF17" s="14"/>
    </row>
    <row r="18" spans="1:32" x14ac:dyDescent="0.3">
      <c r="A18" s="74">
        <v>12</v>
      </c>
      <c r="B18" s="74" t="s">
        <v>13</v>
      </c>
      <c r="C18" s="74" t="s">
        <v>14</v>
      </c>
      <c r="D18" s="112">
        <v>41150</v>
      </c>
      <c r="E18" s="87">
        <v>16.055700000000002</v>
      </c>
      <c r="F18" s="87">
        <v>0.03</v>
      </c>
      <c r="G18" s="77">
        <v>21.9786</v>
      </c>
      <c r="H18" s="82">
        <v>21.977499999999999</v>
      </c>
      <c r="I18" s="76">
        <v>0.15</v>
      </c>
      <c r="J18" s="78">
        <v>41451</v>
      </c>
      <c r="K18" s="121">
        <v>11783</v>
      </c>
      <c r="L18" s="74">
        <f t="shared" si="0"/>
        <v>11785.592830422695</v>
      </c>
      <c r="M18" s="74">
        <v>3.6682202242494688E-2</v>
      </c>
      <c r="N18" s="74">
        <v>1.2227400747498229</v>
      </c>
      <c r="O18" s="74">
        <v>1.217137756355352</v>
      </c>
      <c r="P18" s="79">
        <v>40.571258545178402</v>
      </c>
      <c r="Q18" s="123"/>
      <c r="R18" s="86"/>
      <c r="S18" s="118"/>
      <c r="T18" s="22"/>
      <c r="U18" s="119"/>
      <c r="V18" s="22"/>
      <c r="W18" s="116">
        <v>2</v>
      </c>
      <c r="X18" s="90">
        <v>674</v>
      </c>
      <c r="Y18" s="90">
        <v>693</v>
      </c>
      <c r="Z18" s="108">
        <v>679</v>
      </c>
      <c r="AA18" s="90"/>
      <c r="AB18" s="114" t="s">
        <v>103</v>
      </c>
      <c r="AC18" s="90">
        <v>5</v>
      </c>
      <c r="AD18" s="90">
        <v>1768</v>
      </c>
      <c r="AE18" s="108">
        <v>1802</v>
      </c>
      <c r="AF18" s="14"/>
    </row>
    <row r="19" spans="1:32" x14ac:dyDescent="0.3">
      <c r="A19" s="74">
        <v>13</v>
      </c>
      <c r="B19" s="74" t="s">
        <v>20</v>
      </c>
      <c r="C19" s="74" t="s">
        <v>17</v>
      </c>
      <c r="D19" s="112">
        <v>41205</v>
      </c>
      <c r="E19" s="82">
        <v>16.001899999999999</v>
      </c>
      <c r="F19" s="82">
        <v>2.9899999999999999E-2</v>
      </c>
      <c r="G19" s="82">
        <v>21.9255</v>
      </c>
      <c r="H19" s="77">
        <v>21.925000000000001</v>
      </c>
      <c r="I19" s="76">
        <v>0.15</v>
      </c>
      <c r="J19" s="78">
        <v>41451</v>
      </c>
      <c r="K19" s="121">
        <v>21077</v>
      </c>
      <c r="L19" s="74">
        <f t="shared" si="0"/>
        <v>21079.107910791074</v>
      </c>
      <c r="M19" s="74">
        <v>6.5607908791744315E-2</v>
      </c>
      <c r="N19" s="74">
        <v>2.1869302930581442</v>
      </c>
      <c r="O19" s="74">
        <v>2.1813279746636733</v>
      </c>
      <c r="P19" s="79">
        <v>72.954112865005797</v>
      </c>
      <c r="Q19" s="80"/>
      <c r="R19" s="14"/>
      <c r="S19" s="118"/>
      <c r="T19" s="120"/>
      <c r="U19" s="119"/>
      <c r="V19" s="120"/>
      <c r="W19" s="116">
        <v>5</v>
      </c>
      <c r="X19" s="90">
        <v>1721</v>
      </c>
      <c r="Y19" s="90">
        <v>1565</v>
      </c>
      <c r="Z19" s="108">
        <v>3073</v>
      </c>
      <c r="AA19" s="90"/>
      <c r="AB19" s="114" t="s">
        <v>104</v>
      </c>
      <c r="AC19" s="90">
        <v>50</v>
      </c>
      <c r="AD19" s="115">
        <v>14937</v>
      </c>
      <c r="AE19" s="108"/>
      <c r="AF19" s="14"/>
    </row>
    <row r="20" spans="1:32" x14ac:dyDescent="0.3">
      <c r="A20" s="74">
        <v>14</v>
      </c>
      <c r="B20" s="74" t="s">
        <v>28</v>
      </c>
      <c r="C20" s="74" t="s">
        <v>29</v>
      </c>
      <c r="D20" s="112">
        <v>41150</v>
      </c>
      <c r="E20" s="87">
        <v>15.9396</v>
      </c>
      <c r="F20" s="82">
        <v>3.0499999999999999E-2</v>
      </c>
      <c r="G20" s="82">
        <v>21.865100000000002</v>
      </c>
      <c r="H20" s="77">
        <v>21.863900000000001</v>
      </c>
      <c r="I20" s="76">
        <v>0.15</v>
      </c>
      <c r="J20" s="78">
        <v>41451</v>
      </c>
      <c r="K20" s="121">
        <v>18754</v>
      </c>
      <c r="L20" s="74">
        <f t="shared" si="0"/>
        <v>18758.502040489722</v>
      </c>
      <c r="M20" s="74">
        <v>5.8385112697874719E-2</v>
      </c>
      <c r="N20" s="74">
        <v>1.9461704232624908</v>
      </c>
      <c r="O20" s="74">
        <v>1.9405681048680199</v>
      </c>
      <c r="P20" s="79">
        <v>63.625183766164589</v>
      </c>
      <c r="Q20" s="80"/>
      <c r="R20" s="14"/>
      <c r="S20" s="118"/>
      <c r="T20" s="120"/>
      <c r="U20" s="124"/>
      <c r="V20" s="120"/>
      <c r="W20" s="116">
        <v>10</v>
      </c>
      <c r="X20" s="90">
        <v>3297</v>
      </c>
      <c r="Y20" s="90">
        <v>3317</v>
      </c>
      <c r="Z20" s="108"/>
      <c r="AA20" s="90"/>
      <c r="AB20" s="114" t="s">
        <v>104</v>
      </c>
      <c r="AC20" s="90">
        <v>50</v>
      </c>
      <c r="AD20" s="115">
        <v>15232</v>
      </c>
      <c r="AE20" s="108"/>
      <c r="AF20" s="14"/>
    </row>
    <row r="21" spans="1:32" x14ac:dyDescent="0.3">
      <c r="A21" s="74">
        <v>15</v>
      </c>
      <c r="B21" s="74" t="s">
        <v>30</v>
      </c>
      <c r="C21" s="74" t="s">
        <v>29</v>
      </c>
      <c r="D21" s="112">
        <v>41150</v>
      </c>
      <c r="E21" s="82">
        <v>15.9475</v>
      </c>
      <c r="F21" s="82">
        <v>3.04E-2</v>
      </c>
      <c r="G21" s="87">
        <v>21.869</v>
      </c>
      <c r="H21" s="77">
        <v>21.869</v>
      </c>
      <c r="I21" s="76">
        <v>0.15</v>
      </c>
      <c r="J21" s="78">
        <v>41451</v>
      </c>
      <c r="K21" s="121">
        <v>11328</v>
      </c>
      <c r="L21" s="74">
        <f t="shared" si="0"/>
        <v>11328</v>
      </c>
      <c r="M21" s="74">
        <v>3.5257962241011555E-2</v>
      </c>
      <c r="N21" s="74">
        <v>1.1752654080337186</v>
      </c>
      <c r="O21" s="74">
        <v>1.1696630896392477</v>
      </c>
      <c r="P21" s="79">
        <v>38.475759527606833</v>
      </c>
      <c r="Q21" s="80"/>
      <c r="R21" s="14"/>
      <c r="S21" s="118"/>
      <c r="T21" s="120"/>
      <c r="U21" s="119"/>
      <c r="V21" s="120"/>
      <c r="W21" s="116">
        <v>50</v>
      </c>
      <c r="X21" s="126">
        <v>16572</v>
      </c>
      <c r="Y21" s="90">
        <v>16450</v>
      </c>
      <c r="Z21" s="108">
        <v>15008</v>
      </c>
      <c r="AA21" s="90"/>
      <c r="AB21" s="114" t="s">
        <v>104</v>
      </c>
      <c r="AC21" s="90">
        <v>50</v>
      </c>
      <c r="AD21" s="115">
        <v>17438</v>
      </c>
      <c r="AE21" s="108"/>
      <c r="AF21" s="14"/>
    </row>
    <row r="22" spans="1:32" x14ac:dyDescent="0.3">
      <c r="A22" s="74">
        <v>16</v>
      </c>
      <c r="B22" s="74" t="s">
        <v>31</v>
      </c>
      <c r="C22" s="74" t="s">
        <v>29</v>
      </c>
      <c r="D22" s="112">
        <v>41150</v>
      </c>
      <c r="E22" s="130">
        <v>15.987500000000001</v>
      </c>
      <c r="F22" s="82">
        <v>3.0700000000000002E-2</v>
      </c>
      <c r="G22" s="82">
        <v>21.901299999999999</v>
      </c>
      <c r="H22" s="77">
        <v>21.899699999999999</v>
      </c>
      <c r="I22" s="76">
        <v>0.15</v>
      </c>
      <c r="J22" s="78">
        <v>41451</v>
      </c>
      <c r="K22" s="121">
        <v>15256</v>
      </c>
      <c r="L22" s="74">
        <f t="shared" si="0"/>
        <v>15260.883482714467</v>
      </c>
      <c r="M22" s="74">
        <v>4.7498910098695592E-2</v>
      </c>
      <c r="N22" s="74">
        <v>1.583297003289853</v>
      </c>
      <c r="O22" s="74">
        <v>1.5776946848953821</v>
      </c>
      <c r="P22" s="79">
        <v>51.39070634838378</v>
      </c>
      <c r="Q22" s="80"/>
      <c r="R22" s="14"/>
      <c r="S22" s="118"/>
      <c r="T22" s="120"/>
      <c r="U22" s="119"/>
      <c r="V22" s="120"/>
      <c r="W22" s="116">
        <v>200</v>
      </c>
      <c r="X22" s="126"/>
      <c r="Y22" s="127"/>
      <c r="Z22" s="108">
        <v>77803</v>
      </c>
      <c r="AA22" s="90"/>
      <c r="AB22" s="114" t="s">
        <v>104</v>
      </c>
      <c r="AC22" s="127">
        <v>50</v>
      </c>
      <c r="AD22" s="128">
        <v>14735</v>
      </c>
      <c r="AE22" s="129"/>
      <c r="AF22" s="14"/>
    </row>
    <row r="23" spans="1:32" x14ac:dyDescent="0.3">
      <c r="A23" s="74">
        <v>17</v>
      </c>
      <c r="B23" s="74" t="s">
        <v>16</v>
      </c>
      <c r="C23" s="74" t="s">
        <v>17</v>
      </c>
      <c r="D23" s="112">
        <v>41150</v>
      </c>
      <c r="E23" s="87">
        <v>16.100000000000001</v>
      </c>
      <c r="F23" s="87">
        <v>2.9700000000000001E-2</v>
      </c>
      <c r="G23" s="87">
        <v>22.0137</v>
      </c>
      <c r="H23" s="77">
        <v>22.013000000000002</v>
      </c>
      <c r="I23" s="76">
        <v>0.15</v>
      </c>
      <c r="J23" s="78">
        <v>41451</v>
      </c>
      <c r="K23" s="121">
        <v>15688</v>
      </c>
      <c r="L23" s="74">
        <f t="shared" si="0"/>
        <v>15690.19662752785</v>
      </c>
      <c r="M23" s="74">
        <v>4.8835130671559306E-2</v>
      </c>
      <c r="N23" s="74">
        <v>1.627837689051977</v>
      </c>
      <c r="O23" s="74">
        <v>1.6222353706575061</v>
      </c>
      <c r="P23" s="79">
        <v>54.620719550757784</v>
      </c>
      <c r="Q23" s="80"/>
      <c r="R23" s="14"/>
      <c r="S23" s="118"/>
      <c r="T23" s="120"/>
      <c r="U23" s="124"/>
      <c r="V23" s="120"/>
      <c r="W23" s="131">
        <v>500</v>
      </c>
      <c r="X23" s="132"/>
      <c r="Y23" s="132"/>
      <c r="Z23" s="133">
        <v>312462</v>
      </c>
      <c r="AA23" s="134"/>
      <c r="AB23" s="114" t="s">
        <v>104</v>
      </c>
      <c r="AC23" s="127">
        <v>50</v>
      </c>
      <c r="AD23" s="192">
        <v>16572</v>
      </c>
      <c r="AE23" s="129"/>
      <c r="AF23" s="184"/>
    </row>
    <row r="24" spans="1:32" x14ac:dyDescent="0.3">
      <c r="A24" s="74">
        <v>18</v>
      </c>
      <c r="B24" s="74" t="s">
        <v>18</v>
      </c>
      <c r="C24" s="74" t="s">
        <v>17</v>
      </c>
      <c r="D24" s="112">
        <v>41150</v>
      </c>
      <c r="E24" s="82">
        <v>15.951700000000001</v>
      </c>
      <c r="F24" s="82">
        <v>3.0200000000000001E-2</v>
      </c>
      <c r="G24" s="82">
        <v>21.8704</v>
      </c>
      <c r="H24" s="77">
        <v>21.869700000000002</v>
      </c>
      <c r="I24" s="76">
        <v>0.15</v>
      </c>
      <c r="J24" s="78">
        <v>41451</v>
      </c>
      <c r="K24" s="121">
        <v>19734</v>
      </c>
      <c r="L24" s="74">
        <f t="shared" si="0"/>
        <v>19736.763146840553</v>
      </c>
      <c r="M24" s="74">
        <v>6.1429912587490518E-2</v>
      </c>
      <c r="N24" s="74">
        <v>2.0476637529163506</v>
      </c>
      <c r="O24" s="74">
        <v>2.0420614345218797</v>
      </c>
      <c r="P24" s="79">
        <v>67.617928295426481</v>
      </c>
      <c r="Q24" s="80"/>
      <c r="R24" s="14"/>
      <c r="S24" s="118"/>
      <c r="T24" s="120"/>
      <c r="U24" s="140"/>
      <c r="V24" s="120"/>
      <c r="W24" s="16"/>
      <c r="X24" s="16"/>
      <c r="Y24" s="16"/>
      <c r="Z24" s="16"/>
      <c r="AA24" s="16"/>
      <c r="AB24" s="135" t="s">
        <v>104</v>
      </c>
      <c r="AC24" s="136">
        <v>50</v>
      </c>
      <c r="AD24" s="137">
        <v>16617</v>
      </c>
      <c r="AE24" s="138"/>
      <c r="AF24" s="86"/>
    </row>
    <row r="25" spans="1:32" x14ac:dyDescent="0.3">
      <c r="A25" s="74">
        <v>19</v>
      </c>
      <c r="B25" s="74" t="s">
        <v>19</v>
      </c>
      <c r="C25" s="74" t="s">
        <v>17</v>
      </c>
      <c r="D25" s="112">
        <v>41150</v>
      </c>
      <c r="E25" s="87">
        <v>16.030999999999999</v>
      </c>
      <c r="F25" s="82">
        <v>3.0300000000000001E-2</v>
      </c>
      <c r="G25" s="82">
        <v>21.944199999999999</v>
      </c>
      <c r="H25" s="77">
        <v>21.943000000000001</v>
      </c>
      <c r="I25" s="76">
        <v>0.15</v>
      </c>
      <c r="J25" s="78">
        <v>41451</v>
      </c>
      <c r="K25" s="121">
        <v>14702</v>
      </c>
      <c r="L25" s="74">
        <f t="shared" si="0"/>
        <v>14705.529327038483</v>
      </c>
      <c r="M25" s="74">
        <v>4.5770391750248128E-2</v>
      </c>
      <c r="N25" s="74">
        <v>1.525679725008271</v>
      </c>
      <c r="O25" s="74">
        <v>1.5200774066138001</v>
      </c>
      <c r="P25" s="79">
        <v>50.167571175372942</v>
      </c>
      <c r="Q25" s="80"/>
      <c r="R25" s="14"/>
      <c r="S25" s="118"/>
      <c r="T25" s="120"/>
      <c r="U25" s="120"/>
      <c r="V25" s="120"/>
      <c r="W25" s="1" t="s">
        <v>105</v>
      </c>
      <c r="X25" s="16"/>
      <c r="Y25" s="16"/>
      <c r="Z25" s="16"/>
      <c r="AA25" s="118"/>
      <c r="AB25" s="118"/>
      <c r="AC25" s="118"/>
      <c r="AD25" s="22"/>
      <c r="AE25" s="22"/>
      <c r="AF25" s="22"/>
    </row>
    <row r="26" spans="1:32" x14ac:dyDescent="0.3">
      <c r="A26" s="74">
        <v>20</v>
      </c>
      <c r="B26" s="74" t="s">
        <v>21</v>
      </c>
      <c r="C26" s="74" t="s">
        <v>22</v>
      </c>
      <c r="D26" s="112">
        <v>41080</v>
      </c>
      <c r="E26" s="82">
        <v>16.0305</v>
      </c>
      <c r="F26" s="82">
        <v>2.9899999999999999E-2</v>
      </c>
      <c r="G26" s="82">
        <v>21.940200000000001</v>
      </c>
      <c r="H26" s="77">
        <v>21.938500000000001</v>
      </c>
      <c r="I26" s="76">
        <v>0.15</v>
      </c>
      <c r="J26" s="78">
        <v>41451</v>
      </c>
      <c r="K26" s="121">
        <v>3028</v>
      </c>
      <c r="L26" s="74">
        <f t="shared" si="0"/>
        <v>3029.0298701558527</v>
      </c>
      <c r="M26" s="74">
        <v>9.4277384170949122E-3</v>
      </c>
      <c r="N26" s="74">
        <v>0.31425794723649708</v>
      </c>
      <c r="O26" s="74">
        <v>0.3086556288420263</v>
      </c>
      <c r="P26" s="79">
        <v>10.322930730502552</v>
      </c>
      <c r="Q26" s="80"/>
      <c r="R26" s="14"/>
      <c r="S26" s="118"/>
      <c r="T26" s="120"/>
      <c r="U26" s="120"/>
      <c r="V26" s="120"/>
      <c r="W26" s="141" t="s">
        <v>106</v>
      </c>
      <c r="X26" s="142">
        <f>SLOPE(X15:X23,$A$7:$A$15)</f>
        <v>2042.6071428571431</v>
      </c>
      <c r="Y26" s="142">
        <f>SLOPE(Y15:Y23,$A$7:$A$15)</f>
        <v>2026.0357142857142</v>
      </c>
      <c r="Z26" s="142">
        <f>SLOPE(Z15:Z23,$A$7:$A$15)</f>
        <v>26536.696390658173</v>
      </c>
      <c r="AA26" s="106"/>
      <c r="AB26" s="143" t="s">
        <v>107</v>
      </c>
      <c r="AC26" s="120"/>
      <c r="AD26" s="22"/>
      <c r="AE26" s="120"/>
      <c r="AF26" s="145"/>
    </row>
    <row r="27" spans="1:32" x14ac:dyDescent="0.3">
      <c r="A27" s="74">
        <v>21</v>
      </c>
      <c r="B27" s="74" t="s">
        <v>26</v>
      </c>
      <c r="C27" s="74" t="s">
        <v>27</v>
      </c>
      <c r="D27" s="112">
        <v>41114</v>
      </c>
      <c r="E27" s="82">
        <v>16.073399999999999</v>
      </c>
      <c r="F27" s="146">
        <v>3.0599999999999999E-2</v>
      </c>
      <c r="G27" s="146">
        <v>21.9954</v>
      </c>
      <c r="H27" s="87">
        <v>21.994399999999999</v>
      </c>
      <c r="I27" s="76">
        <v>0.15</v>
      </c>
      <c r="J27" s="78">
        <v>41451</v>
      </c>
      <c r="K27" s="148">
        <v>13833</v>
      </c>
      <c r="L27" s="74">
        <f t="shared" si="0"/>
        <v>13835.767153430688</v>
      </c>
      <c r="M27" s="74">
        <v>4.3063290595964615E-2</v>
      </c>
      <c r="N27" s="74">
        <v>1.4354430198654873</v>
      </c>
      <c r="O27" s="74">
        <v>1.4298407014710164</v>
      </c>
      <c r="P27" s="79">
        <v>46.726820309510344</v>
      </c>
      <c r="Q27" s="80"/>
      <c r="R27" s="14"/>
      <c r="S27" s="118"/>
      <c r="T27" s="120"/>
      <c r="U27" s="120"/>
      <c r="V27" s="120"/>
      <c r="W27" s="144" t="s">
        <v>108</v>
      </c>
      <c r="X27" s="145">
        <f>X15</f>
        <v>50</v>
      </c>
      <c r="Y27" s="145">
        <f>Y15</f>
        <v>43</v>
      </c>
      <c r="Z27" s="145">
        <f>Z15</f>
        <v>47</v>
      </c>
      <c r="AA27" s="106"/>
      <c r="AB27" s="115" t="s">
        <v>109</v>
      </c>
      <c r="AC27" s="120"/>
      <c r="AD27" s="22"/>
      <c r="AE27" s="120"/>
      <c r="AF27" s="145"/>
    </row>
    <row r="28" spans="1:32" x14ac:dyDescent="0.3">
      <c r="A28" s="74">
        <v>22</v>
      </c>
      <c r="B28" s="74" t="s">
        <v>7</v>
      </c>
      <c r="C28" s="74" t="s">
        <v>8</v>
      </c>
      <c r="D28" s="112">
        <v>41080</v>
      </c>
      <c r="E28" s="82">
        <v>16.061900000000001</v>
      </c>
      <c r="F28" s="146">
        <v>3.0499999999999999E-2</v>
      </c>
      <c r="G28" s="146">
        <v>21.963100000000001</v>
      </c>
      <c r="H28" s="87">
        <v>21.9619</v>
      </c>
      <c r="I28" s="76">
        <v>0.15</v>
      </c>
      <c r="J28" s="78">
        <v>41451</v>
      </c>
      <c r="K28" s="148">
        <v>8714</v>
      </c>
      <c r="L28" s="74">
        <f t="shared" si="0"/>
        <v>8716.0918620468929</v>
      </c>
      <c r="M28" s="74">
        <v>2.7128499096154435E-2</v>
      </c>
      <c r="N28" s="74">
        <v>0.90428330320514783</v>
      </c>
      <c r="O28" s="74">
        <v>0.89868098481067704</v>
      </c>
      <c r="P28" s="79">
        <v>29.464950321661544</v>
      </c>
      <c r="Q28" s="80"/>
      <c r="R28" s="14"/>
      <c r="S28" s="118"/>
      <c r="T28" s="120"/>
      <c r="U28" s="119"/>
      <c r="V28" s="120"/>
      <c r="W28" s="149" t="s">
        <v>110</v>
      </c>
      <c r="X28" s="150">
        <f>INTERCEPT(X15:X23,$A$7:$A$15)</f>
        <v>-4909.857142857144</v>
      </c>
      <c r="Y28" s="150">
        <f>INTERCEPT(Y15:Y23,$A$7:$A$15)</f>
        <v>-4878.2857142857138</v>
      </c>
      <c r="Z28" s="150">
        <f>INTERCEPT(Z15:Z23,$A$7:$A$15)</f>
        <v>-78165.39490445859</v>
      </c>
      <c r="AA28" s="106"/>
      <c r="AB28" s="115" t="s">
        <v>111</v>
      </c>
      <c r="AC28" s="120"/>
      <c r="AD28" s="22"/>
      <c r="AE28" s="120"/>
      <c r="AF28" s="145"/>
    </row>
    <row r="29" spans="1:32" x14ac:dyDescent="0.3">
      <c r="A29" s="74">
        <v>23</v>
      </c>
      <c r="B29" s="74" t="s">
        <v>7</v>
      </c>
      <c r="C29" s="74" t="s">
        <v>8</v>
      </c>
      <c r="D29" s="112">
        <v>41080</v>
      </c>
      <c r="E29" s="82">
        <v>16.0623</v>
      </c>
      <c r="F29" s="146">
        <v>3.0099999999999998E-2</v>
      </c>
      <c r="G29" s="146">
        <v>21.976600000000001</v>
      </c>
      <c r="H29" s="87">
        <v>21.9757</v>
      </c>
      <c r="I29" s="76">
        <v>0.15</v>
      </c>
      <c r="J29" s="78">
        <v>41451</v>
      </c>
      <c r="K29" s="148">
        <v>8668</v>
      </c>
      <c r="L29" s="74">
        <f t="shared" si="0"/>
        <v>8669.5605208937632</v>
      </c>
      <c r="M29" s="74">
        <v>2.6983672094971465E-2</v>
      </c>
      <c r="N29" s="74">
        <v>0.89945573649904897</v>
      </c>
      <c r="O29" s="74">
        <v>0.89385341810457819</v>
      </c>
      <c r="P29" s="79">
        <v>29.696126847328181</v>
      </c>
      <c r="Q29" s="80"/>
      <c r="R29" s="14"/>
      <c r="S29" s="118"/>
      <c r="T29" s="120"/>
      <c r="U29" s="119"/>
      <c r="V29" s="120"/>
      <c r="W29" s="16"/>
      <c r="X29" s="153"/>
      <c r="Y29" s="153"/>
      <c r="Z29" s="14"/>
      <c r="AA29" s="106"/>
      <c r="AB29" s="120"/>
      <c r="AC29" s="120"/>
      <c r="AD29" s="22"/>
      <c r="AE29" s="120"/>
      <c r="AF29" s="145"/>
    </row>
    <row r="30" spans="1:32" x14ac:dyDescent="0.3">
      <c r="A30" s="74">
        <v>24</v>
      </c>
      <c r="B30" s="74" t="s">
        <v>15</v>
      </c>
      <c r="C30" s="74" t="s">
        <v>8</v>
      </c>
      <c r="D30" s="112">
        <v>41080</v>
      </c>
      <c r="E30" s="82">
        <v>16.044699999999999</v>
      </c>
      <c r="F30" s="146">
        <v>3.09E-2</v>
      </c>
      <c r="G30" s="146">
        <v>21.962900000000001</v>
      </c>
      <c r="H30" s="87">
        <v>21.960799999999999</v>
      </c>
      <c r="I30" s="76">
        <v>0.15</v>
      </c>
      <c r="J30" s="78">
        <v>41451</v>
      </c>
      <c r="K30" s="148">
        <v>11487</v>
      </c>
      <c r="L30" s="74">
        <f t="shared" si="0"/>
        <v>11491.826567158212</v>
      </c>
      <c r="M30" s="74">
        <v>3.5767866100381157E-2</v>
      </c>
      <c r="N30" s="74">
        <v>1.1922622033460386</v>
      </c>
      <c r="O30" s="74">
        <v>1.1866598849515677</v>
      </c>
      <c r="P30" s="79">
        <v>38.403232522704457</v>
      </c>
      <c r="Q30" s="80"/>
      <c r="R30" s="14"/>
      <c r="S30" s="118"/>
      <c r="T30" s="120"/>
      <c r="U30" s="120"/>
      <c r="V30" s="120"/>
      <c r="W30" s="16"/>
      <c r="X30" s="153"/>
      <c r="Y30" s="153"/>
      <c r="Z30" s="14"/>
      <c r="AA30" s="106"/>
      <c r="AB30" s="186" t="s">
        <v>107</v>
      </c>
      <c r="AC30" s="120"/>
      <c r="AD30" s="22"/>
      <c r="AE30" s="120"/>
      <c r="AF30" s="145"/>
    </row>
    <row r="31" spans="1:32" x14ac:dyDescent="0.3">
      <c r="A31" s="74">
        <v>25</v>
      </c>
      <c r="B31" s="74" t="s">
        <v>23</v>
      </c>
      <c r="C31" s="74" t="s">
        <v>22</v>
      </c>
      <c r="D31" s="112">
        <v>41205</v>
      </c>
      <c r="E31" s="82">
        <v>15.9762</v>
      </c>
      <c r="F31" s="146">
        <v>2.9600000000000001E-2</v>
      </c>
      <c r="G31" s="146">
        <v>21.881900000000002</v>
      </c>
      <c r="H31" s="87">
        <v>21.879899999999999</v>
      </c>
      <c r="I31" s="76">
        <v>0.15</v>
      </c>
      <c r="J31" s="78">
        <v>41451</v>
      </c>
      <c r="K31" s="148">
        <v>13973</v>
      </c>
      <c r="L31" s="74">
        <f t="shared" si="0"/>
        <v>13978.591436574636</v>
      </c>
      <c r="M31" s="74">
        <v>4.3507825657951624E-2</v>
      </c>
      <c r="N31" s="74">
        <v>1.4502608552650542</v>
      </c>
      <c r="O31" s="74">
        <v>1.4446585368705833</v>
      </c>
      <c r="P31" s="79">
        <v>48.806031651033216</v>
      </c>
      <c r="Q31" s="80"/>
      <c r="R31" s="14"/>
      <c r="S31" s="118"/>
      <c r="T31" s="120"/>
      <c r="U31" s="120"/>
      <c r="V31" s="120"/>
      <c r="W31" s="1" t="s">
        <v>112</v>
      </c>
      <c r="X31" s="153"/>
      <c r="Y31" s="153"/>
      <c r="Z31" s="14"/>
      <c r="AA31" s="106"/>
      <c r="AB31" s="118" t="s">
        <v>113</v>
      </c>
      <c r="AC31" s="120"/>
      <c r="AD31" s="22"/>
      <c r="AE31" s="120"/>
      <c r="AF31" s="145"/>
    </row>
    <row r="32" spans="1:32" x14ac:dyDescent="0.3">
      <c r="A32" s="74">
        <v>26</v>
      </c>
      <c r="B32" s="74" t="s">
        <v>24</v>
      </c>
      <c r="C32" s="74" t="s">
        <v>22</v>
      </c>
      <c r="D32" s="112">
        <v>41205</v>
      </c>
      <c r="E32" s="82">
        <v>15.956099999999999</v>
      </c>
      <c r="F32" s="146">
        <v>3.1099999999999999E-2</v>
      </c>
      <c r="G32" s="146">
        <v>21.858799999999999</v>
      </c>
      <c r="H32" s="87">
        <v>21.8582</v>
      </c>
      <c r="I32" s="76">
        <v>0.15</v>
      </c>
      <c r="J32" s="78">
        <v>41451</v>
      </c>
      <c r="K32" s="148">
        <v>15055</v>
      </c>
      <c r="L32" s="74">
        <f t="shared" si="0"/>
        <v>15056.806816818014</v>
      </c>
      <c r="M32" s="74">
        <v>4.6863729362427164E-2</v>
      </c>
      <c r="N32" s="74">
        <v>1.5621243120809056</v>
      </c>
      <c r="O32" s="74">
        <v>1.5565219936864347</v>
      </c>
      <c r="P32" s="79">
        <v>50.048938703743886</v>
      </c>
      <c r="Q32" s="80"/>
      <c r="R32" s="14"/>
      <c r="S32" s="118"/>
      <c r="T32" s="120"/>
      <c r="U32" s="120"/>
      <c r="V32" s="120"/>
      <c r="W32" s="141" t="s">
        <v>106</v>
      </c>
      <c r="X32" s="142">
        <f>SLOPE(X15:X20,$A$7:$A$12)</f>
        <v>605.88571428571424</v>
      </c>
      <c r="Y32" s="142">
        <f>SLOPE(Y15:Y20,$A$7:$A$12)</f>
        <v>596.82857142857142</v>
      </c>
      <c r="Z32" s="142">
        <f>SLOPE(Z15:Z19,$A$7:$A$11)</f>
        <v>654.4</v>
      </c>
      <c r="AA32" s="106"/>
      <c r="AB32" s="118" t="s">
        <v>114</v>
      </c>
      <c r="AC32" s="120"/>
      <c r="AD32" s="22"/>
      <c r="AE32" s="120"/>
      <c r="AF32" s="145"/>
    </row>
    <row r="33" spans="1:32" ht="15" thickBot="1" x14ac:dyDescent="0.35">
      <c r="A33" s="74">
        <v>27</v>
      </c>
      <c r="B33" s="74" t="s">
        <v>25</v>
      </c>
      <c r="C33" s="74" t="s">
        <v>22</v>
      </c>
      <c r="D33" s="112">
        <v>41205</v>
      </c>
      <c r="E33" s="82">
        <v>15.9846</v>
      </c>
      <c r="F33" s="151">
        <v>0.03</v>
      </c>
      <c r="G33" s="146">
        <v>21.900099999999998</v>
      </c>
      <c r="H33" s="130">
        <v>21.900200000000002</v>
      </c>
      <c r="I33" s="76">
        <v>0.15</v>
      </c>
      <c r="J33" s="78">
        <v>41451</v>
      </c>
      <c r="K33" s="148">
        <v>14017</v>
      </c>
      <c r="L33" s="74">
        <f t="shared" si="0"/>
        <v>14016.719665606679</v>
      </c>
      <c r="M33" s="74">
        <v>4.3626498297387392E-2</v>
      </c>
      <c r="N33" s="74">
        <v>1.4542166099129132</v>
      </c>
      <c r="O33" s="74">
        <v>1.4486142915184423</v>
      </c>
      <c r="P33" s="79">
        <v>48.287143050614745</v>
      </c>
      <c r="Q33" s="155"/>
      <c r="R33" s="14"/>
      <c r="S33" s="118"/>
      <c r="T33" s="14"/>
      <c r="U33" s="14"/>
      <c r="V33" s="14"/>
      <c r="W33" s="144" t="s">
        <v>108</v>
      </c>
      <c r="X33" s="145">
        <f>X15</f>
        <v>50</v>
      </c>
      <c r="Y33" s="145">
        <f>Y15</f>
        <v>43</v>
      </c>
      <c r="Z33" s="145">
        <f>Z15</f>
        <v>47</v>
      </c>
      <c r="AA33" s="106"/>
      <c r="AB33" s="17" t="s">
        <v>115</v>
      </c>
      <c r="AC33" s="120"/>
      <c r="AD33" s="22"/>
      <c r="AE33" s="120"/>
      <c r="AF33" s="145"/>
    </row>
    <row r="34" spans="1:32" ht="15" customHeight="1" x14ac:dyDescent="0.3">
      <c r="A34" s="74">
        <v>28</v>
      </c>
      <c r="B34" s="74" t="s">
        <v>76</v>
      </c>
      <c r="C34" s="74"/>
      <c r="D34" s="74"/>
      <c r="E34" s="87">
        <v>15.8955</v>
      </c>
      <c r="F34" s="146">
        <v>3.0800000000000001E-2</v>
      </c>
      <c r="G34" s="82">
        <v>21.812100000000001</v>
      </c>
      <c r="H34" s="87">
        <v>21.812100000000001</v>
      </c>
      <c r="I34" s="76">
        <v>0.15</v>
      </c>
      <c r="J34" s="78">
        <v>41451</v>
      </c>
      <c r="K34" s="81">
        <v>1641</v>
      </c>
      <c r="L34" s="74">
        <f t="shared" si="0"/>
        <v>1641</v>
      </c>
      <c r="M34" s="74">
        <v>5.1075490852312815E-3</v>
      </c>
      <c r="N34" s="74">
        <v>0.17025163617437608</v>
      </c>
      <c r="O34" s="74">
        <v>0.16464931777990527</v>
      </c>
      <c r="P34" s="79">
        <v>5.3457570707761448</v>
      </c>
      <c r="Q34" s="155"/>
      <c r="R34" s="14"/>
      <c r="S34" s="160">
        <f t="shared" ref="S34:S37" si="1">P34*1.063</f>
        <v>5.6825397662350419</v>
      </c>
      <c r="T34" s="189">
        <f>AVERAGE(S34:S35)</f>
        <v>5.6683383460675003</v>
      </c>
      <c r="U34" s="162">
        <v>6.41</v>
      </c>
      <c r="V34" s="163" t="s">
        <v>77</v>
      </c>
      <c r="W34" s="149" t="s">
        <v>110</v>
      </c>
      <c r="X34" s="150">
        <f>INTERCEPT(X15:X20,$A$7:$A$12)</f>
        <v>-1078.5999999999999</v>
      </c>
      <c r="Y34" s="150">
        <f>INTERCEPT(Y15:Y20,$A$7:$A$12)</f>
        <v>-1067.0666666666666</v>
      </c>
      <c r="Z34" s="150">
        <f>INTERCEPT(Z15:Z19,$A$7:$A$11)</f>
        <v>-1096.1999999999998</v>
      </c>
      <c r="AA34" s="88"/>
      <c r="AB34" s="145"/>
      <c r="AC34" s="145"/>
      <c r="AD34" s="145"/>
      <c r="AE34" s="145"/>
      <c r="AF34" s="145"/>
    </row>
    <row r="35" spans="1:32" x14ac:dyDescent="0.3">
      <c r="A35" s="74">
        <v>29</v>
      </c>
      <c r="B35" s="74" t="s">
        <v>76</v>
      </c>
      <c r="C35" s="74"/>
      <c r="D35" s="74"/>
      <c r="E35" s="87">
        <v>16.030999999999999</v>
      </c>
      <c r="F35" s="146">
        <v>3.39E-2</v>
      </c>
      <c r="G35" s="82">
        <v>21.9544</v>
      </c>
      <c r="H35" s="87">
        <v>21.9544</v>
      </c>
      <c r="I35" s="76">
        <v>0.15</v>
      </c>
      <c r="J35" s="78">
        <v>41451</v>
      </c>
      <c r="K35" s="81">
        <v>1792</v>
      </c>
      <c r="L35" s="74">
        <f t="shared" si="0"/>
        <v>1792</v>
      </c>
      <c r="M35" s="74">
        <v>5.5775307499905278E-3</v>
      </c>
      <c r="N35" s="74">
        <v>0.18591769166635094</v>
      </c>
      <c r="O35" s="74">
        <v>0.18031537327188013</v>
      </c>
      <c r="P35" s="79">
        <v>5.3190375596424815</v>
      </c>
      <c r="Q35" s="155"/>
      <c r="R35" s="14"/>
      <c r="S35" s="164">
        <f t="shared" si="1"/>
        <v>5.6541369258999579</v>
      </c>
      <c r="T35" s="120"/>
      <c r="U35" s="120"/>
      <c r="V35" s="166"/>
      <c r="W35" s="14"/>
      <c r="X35" s="16"/>
      <c r="Y35" s="16"/>
      <c r="Z35" s="16"/>
      <c r="AA35" s="16"/>
      <c r="AB35" s="16"/>
      <c r="AC35" s="16"/>
      <c r="AD35" s="158"/>
      <c r="AE35" s="16"/>
      <c r="AF35" s="14"/>
    </row>
    <row r="36" spans="1:32" x14ac:dyDescent="0.3">
      <c r="A36" s="74">
        <v>30</v>
      </c>
      <c r="B36" s="139" t="s">
        <v>78</v>
      </c>
      <c r="C36" s="139"/>
      <c r="D36" s="139"/>
      <c r="E36" s="82">
        <v>15.9498</v>
      </c>
      <c r="F36" s="146">
        <v>3.1399999999999997E-2</v>
      </c>
      <c r="G36" s="82">
        <v>21.858599999999999</v>
      </c>
      <c r="H36" s="87">
        <v>21.858699999999999</v>
      </c>
      <c r="I36" s="76">
        <v>0.15</v>
      </c>
      <c r="J36" s="78">
        <v>41451</v>
      </c>
      <c r="K36" s="81">
        <v>27926</v>
      </c>
      <c r="L36" s="74">
        <f t="shared" si="0"/>
        <v>27925.441491170179</v>
      </c>
      <c r="M36" s="74">
        <v>8.69168574911066E-2</v>
      </c>
      <c r="N36" s="74">
        <v>2.8972285830368869</v>
      </c>
      <c r="O36" s="74">
        <v>2.891626264642416</v>
      </c>
      <c r="P36" s="79">
        <v>92.090008428102422</v>
      </c>
      <c r="Q36" s="88"/>
      <c r="R36" s="14"/>
      <c r="S36" s="164">
        <f t="shared" si="1"/>
        <v>97.891678959072863</v>
      </c>
      <c r="T36" s="120">
        <f>AVERAGE(S36:S37)</f>
        <v>99.936383261602899</v>
      </c>
      <c r="U36" s="26">
        <v>101.69</v>
      </c>
      <c r="V36" s="165"/>
      <c r="W36" s="14"/>
      <c r="X36" s="14"/>
      <c r="Y36" s="14"/>
      <c r="Z36" s="14"/>
      <c r="AA36" s="14"/>
      <c r="AB36" s="14"/>
      <c r="AC36" s="14"/>
      <c r="AD36" s="86"/>
      <c r="AE36" s="22"/>
      <c r="AF36" s="14"/>
    </row>
    <row r="37" spans="1:32" ht="15" thickBot="1" x14ac:dyDescent="0.35">
      <c r="A37" s="74">
        <v>31</v>
      </c>
      <c r="B37" s="139" t="s">
        <v>78</v>
      </c>
      <c r="C37" s="139"/>
      <c r="D37" s="139"/>
      <c r="E37" s="82">
        <v>15.9557</v>
      </c>
      <c r="F37" s="146">
        <v>3.0200000000000001E-2</v>
      </c>
      <c r="G37" s="82">
        <v>21.855599999999999</v>
      </c>
      <c r="H37" s="87">
        <v>21.855399999999999</v>
      </c>
      <c r="I37" s="76">
        <v>0.15</v>
      </c>
      <c r="J37" s="78">
        <v>41451</v>
      </c>
      <c r="K37" s="81">
        <v>27979</v>
      </c>
      <c r="L37" s="74">
        <f t="shared" si="0"/>
        <v>27980.119204768187</v>
      </c>
      <c r="M37" s="74">
        <v>8.7087039761716001E-2</v>
      </c>
      <c r="N37" s="74">
        <v>2.9029013253905336</v>
      </c>
      <c r="O37" s="74">
        <v>2.8972990069960627</v>
      </c>
      <c r="P37" s="79">
        <v>95.937053211790158</v>
      </c>
      <c r="Q37" s="88"/>
      <c r="R37" s="14"/>
      <c r="S37" s="168">
        <f t="shared" si="1"/>
        <v>101.98108756413293</v>
      </c>
      <c r="T37" s="176"/>
      <c r="U37" s="176"/>
      <c r="V37" s="177"/>
    </row>
    <row r="38" spans="1:32" x14ac:dyDescent="0.3">
      <c r="A38" s="74">
        <v>32</v>
      </c>
      <c r="B38" s="139" t="s">
        <v>79</v>
      </c>
      <c r="C38" s="139"/>
      <c r="D38" s="139"/>
      <c r="E38" s="82">
        <v>16.056699999999999</v>
      </c>
      <c r="F38" s="146">
        <v>3.15E-2</v>
      </c>
      <c r="G38" s="82">
        <v>21.980699999999999</v>
      </c>
      <c r="H38" s="87">
        <v>21.980599999999999</v>
      </c>
      <c r="I38" s="76">
        <v>0.15</v>
      </c>
      <c r="J38" s="78">
        <v>41451</v>
      </c>
      <c r="K38" s="81">
        <v>21865</v>
      </c>
      <c r="L38" s="74">
        <f t="shared" si="0"/>
        <v>21865.437308746172</v>
      </c>
      <c r="M38" s="74">
        <v>6.805532865598321E-2</v>
      </c>
      <c r="N38" s="74">
        <v>2.2685109551994405</v>
      </c>
      <c r="O38" s="74">
        <v>2.2629086368049696</v>
      </c>
      <c r="P38" s="79">
        <v>71.838369422379984</v>
      </c>
      <c r="Q38" s="88">
        <v>104.52131456395384</v>
      </c>
      <c r="R38" s="14"/>
    </row>
    <row r="39" spans="1:32" x14ac:dyDescent="0.3">
      <c r="A39" s="74">
        <v>33</v>
      </c>
      <c r="B39" s="139" t="s">
        <v>79</v>
      </c>
      <c r="C39" s="139"/>
      <c r="D39" s="139"/>
      <c r="E39" s="82">
        <v>16.0002</v>
      </c>
      <c r="F39" s="146">
        <v>3.0599999999999999E-2</v>
      </c>
      <c r="G39" s="87">
        <v>21.933</v>
      </c>
      <c r="H39" s="87">
        <v>21.933</v>
      </c>
      <c r="I39" s="82">
        <v>0.15</v>
      </c>
      <c r="J39" s="78">
        <v>41451</v>
      </c>
      <c r="K39" s="81">
        <v>21778</v>
      </c>
      <c r="L39" s="74">
        <f t="shared" si="0"/>
        <v>21778</v>
      </c>
      <c r="M39" s="74">
        <v>6.7783183411436229E-2</v>
      </c>
      <c r="N39" s="74">
        <v>2.2594394470478747</v>
      </c>
      <c r="O39" s="74">
        <v>2.2538371286534038</v>
      </c>
      <c r="P39" s="79">
        <v>73.654808125928227</v>
      </c>
      <c r="Q39" s="88">
        <v>104.06773915637555</v>
      </c>
      <c r="R39" s="14"/>
      <c r="S39" s="16"/>
      <c r="T39" s="14"/>
    </row>
    <row r="40" spans="1:32" x14ac:dyDescent="0.3">
      <c r="A40" s="74">
        <v>34</v>
      </c>
      <c r="B40" s="139" t="s">
        <v>80</v>
      </c>
      <c r="C40" s="139"/>
      <c r="D40" s="139"/>
      <c r="E40" s="82">
        <v>16.034300000000002</v>
      </c>
      <c r="F40" s="146">
        <v>3.1899999999999998E-2</v>
      </c>
      <c r="G40" s="87">
        <v>21.968499999999999</v>
      </c>
      <c r="H40" s="87">
        <v>21.968399999999999</v>
      </c>
      <c r="I40" s="82">
        <v>0.15</v>
      </c>
      <c r="J40" s="78">
        <v>41451</v>
      </c>
      <c r="K40" s="81">
        <v>48882</v>
      </c>
      <c r="L40" s="74">
        <f t="shared" si="0"/>
        <v>48882.977659553188</v>
      </c>
      <c r="M40" s="74">
        <v>0.15214637893262162</v>
      </c>
      <c r="N40" s="74">
        <v>5.0715459644207206</v>
      </c>
      <c r="O40" s="74">
        <v>5.0659436460262501</v>
      </c>
      <c r="P40" s="79">
        <v>158.8070108472179</v>
      </c>
      <c r="Q40" s="88">
        <v>108.57405051035052</v>
      </c>
      <c r="R40" s="14"/>
      <c r="S40" s="16"/>
    </row>
    <row r="41" spans="1:32" x14ac:dyDescent="0.3">
      <c r="A41" s="74">
        <v>35</v>
      </c>
      <c r="B41" s="139" t="s">
        <v>80</v>
      </c>
      <c r="C41" s="139"/>
      <c r="D41" s="139"/>
      <c r="E41" s="82">
        <v>15.995799999999999</v>
      </c>
      <c r="F41" s="151">
        <v>3.3000000000000002E-2</v>
      </c>
      <c r="G41" s="82">
        <v>21.9374</v>
      </c>
      <c r="H41" s="87">
        <v>21.936599999999999</v>
      </c>
      <c r="I41" s="82">
        <v>0.15</v>
      </c>
      <c r="J41" s="78">
        <v>41451</v>
      </c>
      <c r="K41" s="81">
        <v>50202</v>
      </c>
      <c r="L41" s="74">
        <f t="shared" si="0"/>
        <v>50210.033605376877</v>
      </c>
      <c r="M41" s="74">
        <v>0.15627678928127642</v>
      </c>
      <c r="N41" s="74">
        <v>5.2092263093758806</v>
      </c>
      <c r="O41" s="74">
        <v>5.2036239909814102</v>
      </c>
      <c r="P41" s="79">
        <v>157.68557548428515</v>
      </c>
      <c r="Q41" s="88">
        <v>115.45806775810851</v>
      </c>
      <c r="R41" s="14"/>
      <c r="S41" s="16"/>
    </row>
    <row r="42" spans="1:32" ht="15" customHeight="1" x14ac:dyDescent="0.3">
      <c r="A42" s="74">
        <v>36</v>
      </c>
      <c r="B42" s="139" t="s">
        <v>81</v>
      </c>
      <c r="C42" s="139"/>
      <c r="D42" s="139"/>
      <c r="E42" s="82">
        <v>16.023599999999998</v>
      </c>
      <c r="F42" s="146">
        <v>2.6200000000000001E-2</v>
      </c>
      <c r="G42" s="82">
        <v>21.921199999999999</v>
      </c>
      <c r="H42" s="87">
        <v>21.920200000000001</v>
      </c>
      <c r="I42" s="82">
        <v>0.15</v>
      </c>
      <c r="J42" s="78">
        <v>41451</v>
      </c>
      <c r="K42" s="81">
        <v>5743</v>
      </c>
      <c r="L42" s="74">
        <f t="shared" si="0"/>
        <v>5744.1488297659507</v>
      </c>
      <c r="M42" s="74">
        <v>1.7878441255882643E-2</v>
      </c>
      <c r="N42" s="74">
        <v>0.59594804186275485</v>
      </c>
      <c r="O42" s="74">
        <v>0.59034572346828407</v>
      </c>
      <c r="P42" s="79">
        <v>22.532279521690231</v>
      </c>
      <c r="Q42" s="88"/>
      <c r="R42" s="14"/>
      <c r="S42" s="16">
        <f>P42*1.051</f>
        <v>23.681425777296432</v>
      </c>
      <c r="T42" s="14">
        <f>AVERAGE(S42:S43)</f>
        <v>23.496724285697411</v>
      </c>
      <c r="U42" s="172" t="s">
        <v>82</v>
      </c>
      <c r="V42" s="83" t="s">
        <v>81</v>
      </c>
    </row>
    <row r="43" spans="1:32" x14ac:dyDescent="0.3">
      <c r="A43" s="74">
        <v>37</v>
      </c>
      <c r="B43" s="139" t="s">
        <v>81</v>
      </c>
      <c r="C43" s="139"/>
      <c r="D43" s="139"/>
      <c r="E43" s="82">
        <v>16.011900000000001</v>
      </c>
      <c r="F43" s="146">
        <v>2.86E-2</v>
      </c>
      <c r="G43" s="87">
        <v>21.920999999999999</v>
      </c>
      <c r="H43" s="87">
        <v>21.9206</v>
      </c>
      <c r="I43" s="82">
        <v>0.15</v>
      </c>
      <c r="J43" s="78">
        <v>41451</v>
      </c>
      <c r="K43" s="81">
        <v>6168</v>
      </c>
      <c r="L43" s="74">
        <f t="shared" si="0"/>
        <v>6168.4934794783567</v>
      </c>
      <c r="M43" s="74">
        <v>1.9199197579746988E-2</v>
      </c>
      <c r="N43" s="74">
        <v>0.63997325265823291</v>
      </c>
      <c r="O43" s="74">
        <v>0.63437093426376212</v>
      </c>
      <c r="P43" s="79">
        <v>22.180801897334341</v>
      </c>
      <c r="Q43" s="88"/>
      <c r="R43" s="14"/>
      <c r="S43" s="16">
        <f>P43*1.051</f>
        <v>23.31202279409839</v>
      </c>
      <c r="U43" s="113"/>
    </row>
    <row r="44" spans="1:32" x14ac:dyDescent="0.3">
      <c r="A44" s="74">
        <v>38</v>
      </c>
      <c r="B44" s="139" t="s">
        <v>83</v>
      </c>
      <c r="C44" s="139"/>
      <c r="D44" s="139"/>
      <c r="E44" s="87">
        <v>15.940200000000001</v>
      </c>
      <c r="F44" s="82">
        <v>2.6200000000000001E-2</v>
      </c>
      <c r="G44" s="82">
        <v>21.8599</v>
      </c>
      <c r="H44" s="87">
        <v>21.858699999999999</v>
      </c>
      <c r="I44" s="82">
        <v>0.15</v>
      </c>
      <c r="J44" s="78">
        <v>41451</v>
      </c>
      <c r="K44" s="81">
        <v>25782</v>
      </c>
      <c r="L44" s="74">
        <f t="shared" si="0"/>
        <v>25788.189165399701</v>
      </c>
      <c r="M44" s="74">
        <v>8.0264742219078922E-2</v>
      </c>
      <c r="N44" s="74">
        <v>2.6754914073026308</v>
      </c>
      <c r="O44" s="74">
        <v>2.6698890889081599</v>
      </c>
      <c r="P44" s="79">
        <v>101.90416369878473</v>
      </c>
      <c r="Q44" s="88">
        <v>102.87653800210683</v>
      </c>
      <c r="R44" s="14"/>
    </row>
    <row r="45" spans="1:32" x14ac:dyDescent="0.3">
      <c r="A45" s="193">
        <v>39</v>
      </c>
      <c r="B45" s="194" t="s">
        <v>83</v>
      </c>
      <c r="C45" s="194"/>
      <c r="D45" s="194"/>
      <c r="E45" s="81">
        <v>15.9758</v>
      </c>
      <c r="F45" s="81">
        <v>2.4899999999999999E-2</v>
      </c>
      <c r="G45" s="81">
        <v>21.913399999999999</v>
      </c>
      <c r="H45" s="81">
        <v>21.911300000000001</v>
      </c>
      <c r="I45" s="81">
        <v>0.15</v>
      </c>
      <c r="J45" s="152">
        <v>41452</v>
      </c>
      <c r="K45" s="81">
        <v>25537</v>
      </c>
      <c r="L45" s="193">
        <f t="shared" si="0"/>
        <v>25547.730046619577</v>
      </c>
      <c r="M45" s="193">
        <v>7.9516322504172801E-2</v>
      </c>
      <c r="N45" s="193">
        <v>2.6505440834724268</v>
      </c>
      <c r="O45" s="193">
        <v>2.6449417650779559</v>
      </c>
      <c r="P45" s="195">
        <v>106.22256084650425</v>
      </c>
      <c r="Q45" s="88">
        <v>101.62917181059666</v>
      </c>
      <c r="R45" s="14"/>
    </row>
  </sheetData>
  <mergeCells count="1">
    <mergeCell ref="W4: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19"/>
  <sheetViews>
    <sheetView zoomScale="80" zoomScaleNormal="80" workbookViewId="0">
      <selection activeCell="G25" sqref="A1:XFD1048576"/>
    </sheetView>
  </sheetViews>
  <sheetFormatPr defaultColWidth="8.90625" defaultRowHeight="14.4" x14ac:dyDescent="0.3"/>
  <cols>
    <col min="1" max="1" width="14.453125" style="2" customWidth="1"/>
    <col min="2" max="2" width="14.54296875" style="2" customWidth="1"/>
    <col min="3" max="18" width="8.90625" style="2"/>
    <col min="19" max="19" width="13.08984375" style="10" customWidth="1"/>
    <col min="20" max="20" width="8.90625" style="10"/>
    <col min="21" max="21" width="13.36328125" style="2" customWidth="1"/>
    <col min="22" max="16384" width="8.90625" style="2"/>
  </cols>
  <sheetData>
    <row r="1" spans="1:33" ht="15.6" thickTop="1" thickBot="1" x14ac:dyDescent="0.35">
      <c r="A1" s="178" t="s">
        <v>32</v>
      </c>
      <c r="B1" s="20">
        <v>41464</v>
      </c>
      <c r="C1" s="21"/>
      <c r="D1" s="21"/>
      <c r="E1" s="22"/>
      <c r="F1" s="22"/>
      <c r="G1" s="23"/>
      <c r="H1" s="23"/>
      <c r="I1" s="23"/>
      <c r="J1" s="23"/>
      <c r="K1" s="23"/>
      <c r="L1" s="22"/>
      <c r="M1" s="14"/>
      <c r="N1" s="14"/>
      <c r="O1" s="14"/>
      <c r="P1" s="24"/>
      <c r="Q1" s="25"/>
      <c r="R1" s="14"/>
    </row>
    <row r="2" spans="1:33" ht="15" thickTop="1" x14ac:dyDescent="0.3">
      <c r="A2" s="179"/>
      <c r="B2" s="22"/>
      <c r="C2" s="22"/>
      <c r="D2" s="22"/>
      <c r="E2" s="22"/>
      <c r="F2" s="22"/>
      <c r="G2" s="23"/>
      <c r="H2" s="23"/>
      <c r="I2" s="23"/>
      <c r="J2" s="23"/>
      <c r="K2" s="23"/>
      <c r="L2" s="22"/>
      <c r="M2" s="14"/>
      <c r="N2" s="14"/>
      <c r="O2" s="14"/>
      <c r="P2" s="24"/>
      <c r="Q2" s="25"/>
      <c r="R2" s="14"/>
    </row>
    <row r="3" spans="1:33" ht="15" thickBot="1" x14ac:dyDescent="0.35">
      <c r="A3" s="27" t="s">
        <v>33</v>
      </c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M3" s="30"/>
      <c r="N3" s="30"/>
      <c r="O3" s="30"/>
      <c r="P3" s="31"/>
      <c r="Q3" s="32"/>
      <c r="R3" s="30"/>
      <c r="U3" s="33"/>
      <c r="V3" s="33"/>
    </row>
    <row r="4" spans="1:33" ht="15" thickTop="1" x14ac:dyDescent="0.3">
      <c r="A4" s="35" t="s">
        <v>34</v>
      </c>
      <c r="B4" s="36" t="s">
        <v>35</v>
      </c>
      <c r="C4" s="37" t="s">
        <v>4</v>
      </c>
      <c r="D4" s="37" t="s">
        <v>36</v>
      </c>
      <c r="E4" s="38" t="s">
        <v>37</v>
      </c>
      <c r="F4" s="40" t="s">
        <v>38</v>
      </c>
      <c r="G4" s="40" t="s">
        <v>39</v>
      </c>
      <c r="H4" s="40" t="s">
        <v>39</v>
      </c>
      <c r="I4" s="40" t="s">
        <v>40</v>
      </c>
      <c r="J4" s="38" t="s">
        <v>41</v>
      </c>
      <c r="K4" s="38"/>
      <c r="L4" s="43" t="s">
        <v>42</v>
      </c>
      <c r="M4" s="44"/>
      <c r="N4" s="45" t="s">
        <v>43</v>
      </c>
      <c r="O4" s="45" t="s">
        <v>43</v>
      </c>
      <c r="P4" s="46"/>
      <c r="Q4" s="47"/>
      <c r="R4" s="14"/>
      <c r="S4" s="48"/>
      <c r="T4" s="48"/>
      <c r="U4" s="49"/>
      <c r="V4" s="14"/>
    </row>
    <row r="5" spans="1:33" x14ac:dyDescent="0.3">
      <c r="A5" s="51" t="s">
        <v>44</v>
      </c>
      <c r="B5" s="52"/>
      <c r="C5" s="53"/>
      <c r="D5" s="53"/>
      <c r="E5" s="54" t="s">
        <v>45</v>
      </c>
      <c r="F5" s="54" t="s">
        <v>45</v>
      </c>
      <c r="G5" s="54" t="s">
        <v>46</v>
      </c>
      <c r="H5" s="54" t="s">
        <v>47</v>
      </c>
      <c r="I5" s="54" t="s">
        <v>48</v>
      </c>
      <c r="J5" s="28"/>
      <c r="K5" s="54" t="s">
        <v>49</v>
      </c>
      <c r="L5" s="54" t="s">
        <v>50</v>
      </c>
      <c r="M5" s="55"/>
      <c r="N5" s="56" t="s">
        <v>51</v>
      </c>
      <c r="O5" s="56" t="s">
        <v>52</v>
      </c>
      <c r="P5" s="57" t="s">
        <v>53</v>
      </c>
      <c r="Q5" s="58" t="s">
        <v>54</v>
      </c>
      <c r="R5" s="14"/>
      <c r="S5" s="59" t="s">
        <v>55</v>
      </c>
      <c r="T5" s="59" t="s">
        <v>56</v>
      </c>
      <c r="U5" s="59" t="s">
        <v>57</v>
      </c>
      <c r="V5" s="14"/>
    </row>
    <row r="6" spans="1:33" ht="15" thickBot="1" x14ac:dyDescent="0.35">
      <c r="A6" s="63"/>
      <c r="B6" s="64"/>
      <c r="C6" s="65"/>
      <c r="D6" s="65"/>
      <c r="E6" s="66" t="s">
        <v>58</v>
      </c>
      <c r="F6" s="66" t="s">
        <v>58</v>
      </c>
      <c r="G6" s="66" t="s">
        <v>58</v>
      </c>
      <c r="H6" s="66" t="s">
        <v>58</v>
      </c>
      <c r="I6" s="66"/>
      <c r="J6" s="67"/>
      <c r="K6" s="66" t="s">
        <v>59</v>
      </c>
      <c r="L6" s="68" t="s">
        <v>60</v>
      </c>
      <c r="M6" s="69" t="s">
        <v>61</v>
      </c>
      <c r="N6" s="70" t="s">
        <v>62</v>
      </c>
      <c r="O6" s="70" t="s">
        <v>63</v>
      </c>
      <c r="P6" s="71" t="s">
        <v>64</v>
      </c>
      <c r="Q6" s="72" t="s">
        <v>65</v>
      </c>
      <c r="R6" s="14"/>
      <c r="S6" s="73" t="s">
        <v>66</v>
      </c>
      <c r="T6" s="73" t="s">
        <v>67</v>
      </c>
      <c r="U6" s="73" t="s">
        <v>68</v>
      </c>
      <c r="V6" s="14"/>
    </row>
    <row r="7" spans="1:33" ht="15" thickTop="1" x14ac:dyDescent="0.3">
      <c r="A7" s="74">
        <v>1</v>
      </c>
      <c r="B7" s="74" t="s">
        <v>69</v>
      </c>
      <c r="C7" s="74"/>
      <c r="D7" s="74"/>
      <c r="E7" s="81">
        <v>16.011900000000001</v>
      </c>
      <c r="F7" s="76" t="s">
        <v>70</v>
      </c>
      <c r="G7" s="76">
        <v>21.874400000000001</v>
      </c>
      <c r="H7" s="77">
        <v>21.874400000000001</v>
      </c>
      <c r="I7" s="76">
        <v>0.15</v>
      </c>
      <c r="J7" s="78">
        <v>41465</v>
      </c>
      <c r="K7" s="76">
        <v>71</v>
      </c>
      <c r="L7" s="74">
        <f t="shared" ref="L7:L46" si="0">K7*(5/(5-(G7-H7)))</f>
        <v>71</v>
      </c>
      <c r="M7" s="74">
        <f>+(L7/'[3]Calibration curves '!$B$18)*'[3]Background info'!$C$3/1000</f>
        <v>2.3587649378974202E-4</v>
      </c>
      <c r="N7" s="74">
        <v>7.8625497929913999E-3</v>
      </c>
      <c r="O7" s="74"/>
      <c r="P7" s="79"/>
      <c r="Q7" s="80"/>
      <c r="R7" s="14"/>
      <c r="S7" s="16"/>
      <c r="T7" s="16"/>
      <c r="U7" s="14"/>
      <c r="V7" s="14"/>
    </row>
    <row r="8" spans="1:33" x14ac:dyDescent="0.3">
      <c r="A8" s="74">
        <v>2</v>
      </c>
      <c r="B8" s="74" t="s">
        <v>69</v>
      </c>
      <c r="C8" s="74"/>
      <c r="D8" s="74"/>
      <c r="E8" s="81">
        <v>16.0261</v>
      </c>
      <c r="F8" s="76" t="s">
        <v>70</v>
      </c>
      <c r="G8" s="82">
        <v>21.877600000000001</v>
      </c>
      <c r="H8" s="82">
        <v>21.877800000000001</v>
      </c>
      <c r="I8" s="76">
        <v>0.15</v>
      </c>
      <c r="J8" s="78">
        <v>41465</v>
      </c>
      <c r="K8" s="82">
        <v>50</v>
      </c>
      <c r="L8" s="74">
        <f t="shared" si="0"/>
        <v>49.998000079996807</v>
      </c>
      <c r="M8" s="74">
        <f>+(L8/'[3]Calibration curves '!$B$18)*'[3]Background info'!$C$3/1000</f>
        <v>1.6610356275167449E-4</v>
      </c>
      <c r="N8" s="74">
        <v>5.5367854250558167E-3</v>
      </c>
      <c r="O8" s="74"/>
      <c r="P8" s="79"/>
      <c r="Q8" s="80"/>
      <c r="R8" s="14"/>
      <c r="S8" s="16"/>
      <c r="T8" s="16"/>
      <c r="U8" s="14"/>
      <c r="V8" s="14"/>
    </row>
    <row r="9" spans="1:33" x14ac:dyDescent="0.3">
      <c r="A9" s="74">
        <v>3</v>
      </c>
      <c r="B9" s="74" t="s">
        <v>71</v>
      </c>
      <c r="C9" s="74"/>
      <c r="D9" s="74"/>
      <c r="E9" s="75">
        <v>16.026499999999999</v>
      </c>
      <c r="F9" s="76" t="s">
        <v>70</v>
      </c>
      <c r="G9" s="87">
        <v>21.893000000000001</v>
      </c>
      <c r="H9" s="87">
        <v>21.892800000000001</v>
      </c>
      <c r="I9" s="76">
        <v>0.15</v>
      </c>
      <c r="J9" s="78">
        <v>41465</v>
      </c>
      <c r="K9" s="82">
        <v>19857</v>
      </c>
      <c r="L9" s="74">
        <f t="shared" si="0"/>
        <v>19857.794311772468</v>
      </c>
      <c r="M9" s="74">
        <f>+(L9/'[3]Calibration curves '!$B$18)*'[3]Background info'!$C$3/1000</f>
        <v>6.5971646431813705E-2</v>
      </c>
      <c r="N9" s="74">
        <v>2.1990548810604569</v>
      </c>
      <c r="O9" s="74">
        <v>2.1923552134514335</v>
      </c>
      <c r="P9" s="79"/>
      <c r="Q9" s="88">
        <v>109.61776067257168</v>
      </c>
      <c r="R9" s="14"/>
      <c r="S9" s="16"/>
      <c r="T9" s="16"/>
      <c r="U9" s="14"/>
      <c r="V9" s="14"/>
    </row>
    <row r="10" spans="1:33" x14ac:dyDescent="0.3">
      <c r="A10" s="74">
        <v>4</v>
      </c>
      <c r="B10" s="74" t="s">
        <v>71</v>
      </c>
      <c r="C10" s="74"/>
      <c r="D10" s="74"/>
      <c r="E10" s="75">
        <v>16.1707</v>
      </c>
      <c r="F10" s="76" t="s">
        <v>70</v>
      </c>
      <c r="G10" s="87">
        <v>22.0274</v>
      </c>
      <c r="H10" s="87">
        <v>22.0274</v>
      </c>
      <c r="I10" s="76">
        <v>0.15</v>
      </c>
      <c r="J10" s="78">
        <v>41465</v>
      </c>
      <c r="K10" s="82">
        <v>20458</v>
      </c>
      <c r="L10" s="74">
        <f t="shared" si="0"/>
        <v>20458</v>
      </c>
      <c r="M10" s="74">
        <f>+(L10/'[3]Calibration curves '!$B$18)*'[3]Background info'!$C$3/1000</f>
        <v>6.7965652252824527E-2</v>
      </c>
      <c r="N10" s="74">
        <v>2.2655217417608178</v>
      </c>
      <c r="O10" s="74">
        <v>2.2588220741517944</v>
      </c>
      <c r="P10" s="79"/>
      <c r="Q10" s="88">
        <v>112.94110370758972</v>
      </c>
      <c r="R10" s="14"/>
      <c r="S10" s="16"/>
      <c r="T10" s="16"/>
      <c r="U10" s="14"/>
      <c r="V10" s="14"/>
      <c r="X10" s="202" t="s">
        <v>84</v>
      </c>
      <c r="Y10" s="202"/>
      <c r="Z10" s="34"/>
      <c r="AA10" s="34"/>
      <c r="AB10" s="34"/>
    </row>
    <row r="11" spans="1:33" x14ac:dyDescent="0.3">
      <c r="A11" s="74">
        <v>5</v>
      </c>
      <c r="B11" s="74" t="s">
        <v>72</v>
      </c>
      <c r="C11" s="74"/>
      <c r="D11" s="74"/>
      <c r="E11" s="81">
        <v>16.052700000000002</v>
      </c>
      <c r="F11" s="76">
        <v>2.53E-2</v>
      </c>
      <c r="G11" s="82">
        <v>21.938600000000001</v>
      </c>
      <c r="H11" s="87">
        <v>21.936800000000002</v>
      </c>
      <c r="I11" s="76">
        <v>0.15</v>
      </c>
      <c r="J11" s="78">
        <v>41465</v>
      </c>
      <c r="K11" s="82">
        <v>31024</v>
      </c>
      <c r="L11" s="74">
        <f t="shared" si="0"/>
        <v>31035.172662158373</v>
      </c>
      <c r="M11" s="74">
        <f>+(L11/'[3]Calibration curves '!$B$18)*'[3]Background info'!$C$3/1000</f>
        <v>0.10310517903815733</v>
      </c>
      <c r="N11" s="74">
        <v>3.436839301271911</v>
      </c>
      <c r="O11" s="74">
        <v>3.4301396336628875</v>
      </c>
      <c r="P11" s="79">
        <v>135.57864164675445</v>
      </c>
      <c r="Q11" s="88"/>
      <c r="R11" s="14"/>
      <c r="S11" s="16">
        <f>P11*1.063</f>
        <v>144.12009607049998</v>
      </c>
      <c r="T11" s="16">
        <f>AVERAGE(S11:S12)</f>
        <v>144.53963996117193</v>
      </c>
      <c r="U11" s="99" t="s">
        <v>73</v>
      </c>
      <c r="V11" s="100" t="s">
        <v>72</v>
      </c>
      <c r="X11" s="50" t="s">
        <v>85</v>
      </c>
      <c r="Y11" s="50" t="s">
        <v>86</v>
      </c>
      <c r="Z11" s="50" t="s">
        <v>87</v>
      </c>
      <c r="AA11" s="50" t="s">
        <v>88</v>
      </c>
      <c r="AB11" s="50" t="s">
        <v>89</v>
      </c>
    </row>
    <row r="12" spans="1:33" x14ac:dyDescent="0.3">
      <c r="A12" s="74">
        <v>6</v>
      </c>
      <c r="B12" s="74" t="s">
        <v>72</v>
      </c>
      <c r="C12" s="74"/>
      <c r="D12" s="74"/>
      <c r="E12" s="81">
        <v>16.023399999999999</v>
      </c>
      <c r="F12" s="87">
        <v>2.5000000000000001E-2</v>
      </c>
      <c r="G12" s="82">
        <v>21.909600000000001</v>
      </c>
      <c r="H12" s="82">
        <v>21.909099999999999</v>
      </c>
      <c r="I12" s="76">
        <v>0.15</v>
      </c>
      <c r="J12" s="78">
        <v>41465</v>
      </c>
      <c r="K12" s="82">
        <v>30843</v>
      </c>
      <c r="L12" s="74">
        <f t="shared" si="0"/>
        <v>30846.084608460864</v>
      </c>
      <c r="M12" s="74">
        <f>+(L12/'[3]Calibration curves '!$B$18)*'[3]Background info'!$C$3/1000</f>
        <v>0.1024769899237391</v>
      </c>
      <c r="N12" s="74">
        <v>3.4158996641246371</v>
      </c>
      <c r="O12" s="74">
        <v>3.4091999965156137</v>
      </c>
      <c r="P12" s="79">
        <v>136.36799986062454</v>
      </c>
      <c r="Q12" s="105"/>
      <c r="R12" s="30"/>
      <c r="S12" s="16">
        <f>P12*1.063</f>
        <v>144.95918385184387</v>
      </c>
      <c r="U12" s="33"/>
      <c r="V12" s="33"/>
      <c r="X12" s="60" t="s">
        <v>90</v>
      </c>
      <c r="Y12" s="61">
        <v>5</v>
      </c>
      <c r="Z12" s="61">
        <v>1.03</v>
      </c>
      <c r="AA12" s="61">
        <v>1.1100000000000001</v>
      </c>
      <c r="AB12" s="62">
        <v>1.0837104580153032</v>
      </c>
    </row>
    <row r="13" spans="1:33" x14ac:dyDescent="0.3">
      <c r="A13" s="74">
        <v>7</v>
      </c>
      <c r="B13" s="74" t="s">
        <v>135</v>
      </c>
      <c r="C13" s="74" t="s">
        <v>17</v>
      </c>
      <c r="D13" s="112">
        <v>41080</v>
      </c>
      <c r="E13" s="81">
        <v>16.019100000000002</v>
      </c>
      <c r="F13" s="87">
        <v>2.9899999999999999E-2</v>
      </c>
      <c r="G13" s="87">
        <v>21.904</v>
      </c>
      <c r="H13" s="87">
        <v>21.903500000000001</v>
      </c>
      <c r="I13" s="76">
        <v>0.15</v>
      </c>
      <c r="J13" s="78">
        <v>41465</v>
      </c>
      <c r="K13" s="82">
        <v>1273</v>
      </c>
      <c r="L13" s="74">
        <f t="shared" si="0"/>
        <v>1273.1273127312727</v>
      </c>
      <c r="M13" s="74">
        <f>+(L13/'[3]Calibration curves '!$B$18)*'[3]Background info'!$C$3/1000</f>
        <v>4.2295888264085781E-3</v>
      </c>
      <c r="N13" s="74">
        <v>0.1409862942136193</v>
      </c>
      <c r="O13" s="74">
        <v>0.1342866266045957</v>
      </c>
      <c r="P13" s="79">
        <v>4.4911915252373147</v>
      </c>
      <c r="Q13" s="80"/>
      <c r="R13" s="14"/>
      <c r="S13" s="16"/>
      <c r="T13" s="16"/>
      <c r="U13" s="119" t="s">
        <v>162</v>
      </c>
      <c r="V13" s="14" t="s">
        <v>163</v>
      </c>
    </row>
    <row r="14" spans="1:33" x14ac:dyDescent="0.3">
      <c r="A14" s="74">
        <v>8</v>
      </c>
      <c r="B14" s="74" t="s">
        <v>135</v>
      </c>
      <c r="C14" s="74" t="s">
        <v>17</v>
      </c>
      <c r="D14" s="112">
        <v>41080</v>
      </c>
      <c r="E14" s="75">
        <v>15.964</v>
      </c>
      <c r="F14" s="87">
        <v>3.1E-2</v>
      </c>
      <c r="G14" s="82">
        <v>21.849799999999998</v>
      </c>
      <c r="H14" s="87">
        <v>21.848800000000001</v>
      </c>
      <c r="I14" s="76">
        <v>0.15</v>
      </c>
      <c r="J14" s="78">
        <v>41465</v>
      </c>
      <c r="K14" s="82">
        <v>1359</v>
      </c>
      <c r="L14" s="74">
        <f t="shared" si="0"/>
        <v>1359.2718543708736</v>
      </c>
      <c r="M14" s="74">
        <f>+(L14/'[3]Calibration curves '!$B$18)*'[3]Background info'!$C$3/1000</f>
        <v>4.5157785790997541E-3</v>
      </c>
      <c r="N14" s="74">
        <v>0.15052595263665847</v>
      </c>
      <c r="O14" s="74">
        <v>0.14382628502763486</v>
      </c>
      <c r="P14" s="79">
        <v>4.6395575815366081</v>
      </c>
      <c r="Q14" s="80"/>
      <c r="R14" s="14"/>
      <c r="S14" s="16"/>
      <c r="T14" s="16"/>
      <c r="U14" s="119" t="s">
        <v>162</v>
      </c>
      <c r="V14" s="14"/>
    </row>
    <row r="15" spans="1:33" x14ac:dyDescent="0.3">
      <c r="A15" s="74">
        <v>9</v>
      </c>
      <c r="B15" s="74" t="s">
        <v>137</v>
      </c>
      <c r="C15" s="74" t="s">
        <v>17</v>
      </c>
      <c r="D15" s="112">
        <v>41080</v>
      </c>
      <c r="E15" s="81">
        <v>16.029800000000002</v>
      </c>
      <c r="F15" s="82">
        <v>3.1199999999999999E-2</v>
      </c>
      <c r="G15" s="82">
        <v>21.913900000000002</v>
      </c>
      <c r="H15" s="87">
        <v>21.9129</v>
      </c>
      <c r="I15" s="76">
        <v>0.15</v>
      </c>
      <c r="J15" s="78">
        <v>41465</v>
      </c>
      <c r="K15" s="82">
        <v>2094</v>
      </c>
      <c r="L15" s="74">
        <f t="shared" si="0"/>
        <v>2094.4188837767556</v>
      </c>
      <c r="M15" s="74">
        <f>+(L15/'[3]Calibration curves '!$B$18)*'[3]Background info'!$C$3/1000</f>
        <v>6.9580870821448777E-3</v>
      </c>
      <c r="N15" s="74">
        <v>0.23193623607149591</v>
      </c>
      <c r="O15" s="74">
        <v>0.22523656846247231</v>
      </c>
      <c r="P15" s="79">
        <v>7.2191207840536</v>
      </c>
      <c r="Q15" s="80"/>
      <c r="R15" s="14"/>
      <c r="S15" s="118"/>
      <c r="T15" s="118"/>
      <c r="U15" s="119"/>
      <c r="V15" s="14"/>
      <c r="X15" s="83" t="s">
        <v>91</v>
      </c>
      <c r="Y15" s="84"/>
      <c r="Z15" s="85">
        <v>41465</v>
      </c>
      <c r="AA15" s="84"/>
      <c r="AB15" s="84"/>
      <c r="AC15" s="84"/>
      <c r="AD15" s="84"/>
      <c r="AE15" s="86"/>
      <c r="AF15" s="14"/>
      <c r="AG15" s="14"/>
    </row>
    <row r="16" spans="1:33" x14ac:dyDescent="0.3">
      <c r="A16" s="74">
        <v>10</v>
      </c>
      <c r="B16" s="74" t="s">
        <v>139</v>
      </c>
      <c r="C16" s="74" t="s">
        <v>17</v>
      </c>
      <c r="D16" s="112">
        <v>41080</v>
      </c>
      <c r="E16" s="75">
        <v>16.094999999999999</v>
      </c>
      <c r="F16" s="82">
        <v>3.0700000000000002E-2</v>
      </c>
      <c r="G16" s="82">
        <v>21.974900000000002</v>
      </c>
      <c r="H16" s="82">
        <v>21.9726</v>
      </c>
      <c r="I16" s="76">
        <v>0.15</v>
      </c>
      <c r="J16" s="78">
        <v>41465</v>
      </c>
      <c r="K16" s="82">
        <v>1707</v>
      </c>
      <c r="L16" s="74">
        <f t="shared" si="0"/>
        <v>1707.7855813674296</v>
      </c>
      <c r="M16" s="74">
        <f>+(L16/'[3]Calibration curves '!$B$18)*'[3]Background info'!$C$3/1000</f>
        <v>5.6736123250369789E-3</v>
      </c>
      <c r="N16" s="74">
        <v>0.18912041083456596</v>
      </c>
      <c r="O16" s="74">
        <v>0.18242074322554236</v>
      </c>
      <c r="P16" s="79">
        <v>5.9420437532749952</v>
      </c>
      <c r="Q16" s="80"/>
      <c r="R16" s="14"/>
      <c r="S16" s="118"/>
      <c r="T16" s="118"/>
      <c r="U16" s="119"/>
      <c r="V16" s="120"/>
      <c r="X16" s="14"/>
      <c r="Y16" s="89"/>
      <c r="Z16" s="89"/>
      <c r="AA16" s="89"/>
      <c r="AB16" s="90"/>
      <c r="AC16" s="91"/>
      <c r="AD16" s="91"/>
      <c r="AE16" s="92"/>
      <c r="AF16" s="93"/>
      <c r="AG16" s="14"/>
    </row>
    <row r="17" spans="1:33" x14ac:dyDescent="0.3">
      <c r="A17" s="74">
        <v>11</v>
      </c>
      <c r="B17" s="74" t="s">
        <v>140</v>
      </c>
      <c r="C17" s="74" t="s">
        <v>141</v>
      </c>
      <c r="D17" s="112">
        <v>41150</v>
      </c>
      <c r="E17" s="75">
        <v>15.9314</v>
      </c>
      <c r="F17" s="87">
        <v>3.09E-2</v>
      </c>
      <c r="G17" s="82">
        <v>21.8125</v>
      </c>
      <c r="H17" s="82">
        <v>21.811199999999999</v>
      </c>
      <c r="I17" s="76">
        <v>0.15</v>
      </c>
      <c r="J17" s="78">
        <v>41465</v>
      </c>
      <c r="K17" s="82">
        <v>10782</v>
      </c>
      <c r="L17" s="74">
        <f t="shared" si="0"/>
        <v>10784.804049052755</v>
      </c>
      <c r="M17" s="74">
        <f>+(L17/'[3]Calibration curves '!$B$18)*'[3]Background info'!$C$3/1000</f>
        <v>3.5829320638027837E-2</v>
      </c>
      <c r="N17" s="74">
        <v>1.1943106879342613</v>
      </c>
      <c r="O17" s="74">
        <v>1.1876110203252377</v>
      </c>
      <c r="P17" s="79">
        <v>38.434013602758498</v>
      </c>
      <c r="Q17" s="122"/>
      <c r="R17" s="86"/>
      <c r="S17" s="118"/>
      <c r="T17" s="17"/>
      <c r="U17" s="26"/>
      <c r="V17" s="22"/>
      <c r="X17" s="94" t="s">
        <v>92</v>
      </c>
      <c r="Y17" s="95" t="s">
        <v>93</v>
      </c>
      <c r="Z17" s="95" t="s">
        <v>94</v>
      </c>
      <c r="AA17" s="96" t="s">
        <v>95</v>
      </c>
      <c r="AB17" s="90"/>
      <c r="AC17" s="97" t="s">
        <v>96</v>
      </c>
      <c r="AD17" s="98" t="s">
        <v>97</v>
      </c>
      <c r="AE17" s="98" t="s">
        <v>98</v>
      </c>
      <c r="AF17" s="96" t="s">
        <v>99</v>
      </c>
      <c r="AG17" s="14"/>
    </row>
    <row r="18" spans="1:33" x14ac:dyDescent="0.3">
      <c r="A18" s="74">
        <v>12</v>
      </c>
      <c r="B18" s="74" t="s">
        <v>142</v>
      </c>
      <c r="C18" s="74" t="s">
        <v>141</v>
      </c>
      <c r="D18" s="112">
        <v>41150</v>
      </c>
      <c r="E18" s="75">
        <v>15.9902</v>
      </c>
      <c r="F18" s="87">
        <v>3.04E-2</v>
      </c>
      <c r="G18" s="77">
        <v>21.878599999999999</v>
      </c>
      <c r="H18" s="82">
        <v>21.878399999999999</v>
      </c>
      <c r="I18" s="76">
        <v>0.15</v>
      </c>
      <c r="J18" s="78">
        <v>41465</v>
      </c>
      <c r="K18" s="121">
        <v>9452</v>
      </c>
      <c r="L18" s="74">
        <f t="shared" si="0"/>
        <v>9452.3780951238041</v>
      </c>
      <c r="M18" s="74">
        <f>+(L18/'[3]Calibration curves '!$B$18)*'[3]Background info'!$C$3/1000</f>
        <v>3.1402729620461457E-2</v>
      </c>
      <c r="N18" s="74">
        <v>1.046757654015382</v>
      </c>
      <c r="O18" s="74">
        <v>1.0400579864063584</v>
      </c>
      <c r="P18" s="79">
        <v>34.212433763367052</v>
      </c>
      <c r="Q18" s="123"/>
      <c r="R18" s="86"/>
      <c r="S18" s="118"/>
      <c r="T18" s="17"/>
      <c r="U18" s="119"/>
      <c r="V18" s="22"/>
      <c r="X18" s="101"/>
      <c r="Y18" s="102" t="s">
        <v>100</v>
      </c>
      <c r="Z18" s="102" t="s">
        <v>100</v>
      </c>
      <c r="AA18" s="102"/>
      <c r="AB18" s="90"/>
      <c r="AC18" s="103"/>
      <c r="AD18" s="104"/>
      <c r="AE18" s="104" t="s">
        <v>100</v>
      </c>
      <c r="AF18" s="102" t="s">
        <v>101</v>
      </c>
      <c r="AG18" s="14"/>
    </row>
    <row r="19" spans="1:33" x14ac:dyDescent="0.3">
      <c r="A19" s="74">
        <v>13</v>
      </c>
      <c r="B19" s="74" t="s">
        <v>143</v>
      </c>
      <c r="C19" s="74" t="s">
        <v>141</v>
      </c>
      <c r="D19" s="112">
        <v>41150</v>
      </c>
      <c r="E19" s="81">
        <v>15.965299999999999</v>
      </c>
      <c r="F19" s="82">
        <v>2.98E-2</v>
      </c>
      <c r="G19" s="82">
        <v>21.848600000000001</v>
      </c>
      <c r="H19" s="77">
        <v>21.847999999999999</v>
      </c>
      <c r="I19" s="76">
        <v>0.15</v>
      </c>
      <c r="J19" s="78">
        <v>41465</v>
      </c>
      <c r="K19" s="121">
        <v>2836</v>
      </c>
      <c r="L19" s="74">
        <f t="shared" si="0"/>
        <v>2836.3403608433023</v>
      </c>
      <c r="M19" s="74">
        <f>+(L19/'[3]Calibration curves '!$B$18)*'[3]Background info'!$C$3/1000</f>
        <v>9.4229016832401372E-3</v>
      </c>
      <c r="N19" s="74">
        <v>0.31409672277467127</v>
      </c>
      <c r="O19" s="74">
        <v>0.30739705516564764</v>
      </c>
      <c r="P19" s="79">
        <v>10.315337421666028</v>
      </c>
      <c r="Q19" s="80"/>
      <c r="R19" s="14"/>
      <c r="S19" s="118"/>
      <c r="T19" s="118"/>
      <c r="U19" s="119"/>
      <c r="V19" s="120"/>
      <c r="X19" s="106" t="s">
        <v>102</v>
      </c>
      <c r="Y19" s="107">
        <v>42</v>
      </c>
      <c r="Z19" s="90">
        <v>43</v>
      </c>
      <c r="AA19" s="108">
        <v>47</v>
      </c>
      <c r="AB19" s="90"/>
      <c r="AC19" s="109" t="s">
        <v>103</v>
      </c>
      <c r="AD19" s="107">
        <v>5</v>
      </c>
      <c r="AE19" s="110">
        <v>1496</v>
      </c>
      <c r="AF19" s="111"/>
      <c r="AG19" s="14"/>
    </row>
    <row r="20" spans="1:33" x14ac:dyDescent="0.3">
      <c r="A20" s="74">
        <v>14</v>
      </c>
      <c r="B20" s="74" t="s">
        <v>144</v>
      </c>
      <c r="C20" s="74" t="s">
        <v>8</v>
      </c>
      <c r="D20" s="112">
        <v>41116</v>
      </c>
      <c r="E20" s="75">
        <v>16.032900000000001</v>
      </c>
      <c r="F20" s="82">
        <v>3.04E-2</v>
      </c>
      <c r="G20" s="87">
        <v>21.917000000000002</v>
      </c>
      <c r="H20" s="77">
        <v>21.915900000000001</v>
      </c>
      <c r="I20" s="76">
        <v>0.15</v>
      </c>
      <c r="J20" s="78">
        <v>41465</v>
      </c>
      <c r="K20" s="121">
        <v>9635</v>
      </c>
      <c r="L20" s="74">
        <f t="shared" si="0"/>
        <v>9637.1201664366181</v>
      </c>
      <c r="M20" s="74">
        <f>+(L20/'[3]Calibration curves '!$B$18)*'[3]Background info'!$C$3/1000</f>
        <v>3.2016480494218097E-2</v>
      </c>
      <c r="N20" s="74">
        <v>1.0672160164739366</v>
      </c>
      <c r="O20" s="74">
        <v>1.060516348864913</v>
      </c>
      <c r="P20" s="79">
        <v>34.885406212661614</v>
      </c>
      <c r="Q20" s="80"/>
      <c r="R20" s="14"/>
      <c r="S20" s="118"/>
      <c r="T20" s="118"/>
      <c r="U20" s="124"/>
      <c r="V20" s="120"/>
      <c r="X20" s="106" t="s">
        <v>102</v>
      </c>
      <c r="Y20" s="90">
        <v>42</v>
      </c>
      <c r="Z20" s="90">
        <v>43</v>
      </c>
      <c r="AA20" s="108">
        <v>47</v>
      </c>
      <c r="AB20" s="90"/>
      <c r="AC20" s="114" t="s">
        <v>103</v>
      </c>
      <c r="AD20" s="90">
        <v>5</v>
      </c>
      <c r="AE20" s="115">
        <v>1585</v>
      </c>
      <c r="AF20" s="108"/>
      <c r="AG20" s="14"/>
    </row>
    <row r="21" spans="1:33" x14ac:dyDescent="0.3">
      <c r="A21" s="74">
        <v>15</v>
      </c>
      <c r="B21" s="74" t="s">
        <v>145</v>
      </c>
      <c r="C21" s="74" t="s">
        <v>8</v>
      </c>
      <c r="D21" s="112">
        <v>41116</v>
      </c>
      <c r="E21" s="81">
        <v>16.095300000000002</v>
      </c>
      <c r="F21" s="87">
        <v>0.03</v>
      </c>
      <c r="G21" s="87">
        <v>21.974799999999998</v>
      </c>
      <c r="H21" s="77">
        <v>21.973500000000001</v>
      </c>
      <c r="I21" s="76">
        <v>0.15</v>
      </c>
      <c r="J21" s="78">
        <v>41465</v>
      </c>
      <c r="K21" s="121">
        <v>9084</v>
      </c>
      <c r="L21" s="74">
        <f t="shared" si="0"/>
        <v>9086.3624542380967</v>
      </c>
      <c r="M21" s="74">
        <f>+(L21/'[3]Calibration curves '!$B$18)*'[3]Background info'!$C$3/1000</f>
        <v>3.0186750943780812E-2</v>
      </c>
      <c r="N21" s="74">
        <v>1.0062250314593604</v>
      </c>
      <c r="O21" s="74">
        <v>0.99952536385033675</v>
      </c>
      <c r="P21" s="79">
        <v>33.317512128344561</v>
      </c>
      <c r="Q21" s="80"/>
      <c r="R21" s="14"/>
      <c r="S21" s="118"/>
      <c r="T21" s="118"/>
      <c r="U21" s="119"/>
      <c r="V21" s="120"/>
      <c r="X21" s="116">
        <v>0</v>
      </c>
      <c r="Y21" s="90">
        <f>AVERAGE(Y19:Y20)</f>
        <v>42</v>
      </c>
      <c r="Z21" s="90">
        <f>AVERAGE(Z19:Z20)</f>
        <v>43</v>
      </c>
      <c r="AA21" s="117">
        <f>AVERAGE(AA19:AA20)</f>
        <v>47</v>
      </c>
      <c r="AB21" s="90"/>
      <c r="AC21" s="114" t="s">
        <v>103</v>
      </c>
      <c r="AD21" s="90">
        <v>5</v>
      </c>
      <c r="AE21" s="115">
        <v>1569</v>
      </c>
      <c r="AF21" s="108"/>
      <c r="AG21" s="14"/>
    </row>
    <row r="22" spans="1:33" x14ac:dyDescent="0.3">
      <c r="A22" s="74">
        <v>16</v>
      </c>
      <c r="B22" s="74" t="s">
        <v>146</v>
      </c>
      <c r="C22" s="74" t="s">
        <v>8</v>
      </c>
      <c r="D22" s="112">
        <v>41116</v>
      </c>
      <c r="E22" s="130">
        <v>16.046700000000001</v>
      </c>
      <c r="F22" s="82">
        <v>3.0499999999999999E-2</v>
      </c>
      <c r="G22" s="82">
        <v>21.933800000000002</v>
      </c>
      <c r="H22" s="77">
        <v>21.9331</v>
      </c>
      <c r="I22" s="76">
        <v>0.15</v>
      </c>
      <c r="J22" s="78">
        <v>41465</v>
      </c>
      <c r="K22" s="121">
        <v>11541</v>
      </c>
      <c r="L22" s="74">
        <f t="shared" si="0"/>
        <v>11542.615966235278</v>
      </c>
      <c r="M22" s="74">
        <f>+(L22/'[3]Calibration curves '!$B$18)*'[3]Background info'!$C$3/1000</f>
        <v>3.834692652502919E-2</v>
      </c>
      <c r="N22" s="74">
        <v>1.2782308841676397</v>
      </c>
      <c r="O22" s="74">
        <v>1.2715312165586161</v>
      </c>
      <c r="P22" s="79">
        <v>41.689548083889051</v>
      </c>
      <c r="Q22" s="80"/>
      <c r="R22" s="14"/>
      <c r="S22" s="118"/>
      <c r="T22" s="118"/>
      <c r="U22" s="119"/>
      <c r="V22" s="120"/>
      <c r="X22" s="116">
        <v>0.5</v>
      </c>
      <c r="Y22" s="115">
        <v>169</v>
      </c>
      <c r="Z22" s="90">
        <v>178</v>
      </c>
      <c r="AA22" s="108">
        <v>187</v>
      </c>
      <c r="AB22" s="90"/>
      <c r="AC22" s="114" t="s">
        <v>103</v>
      </c>
      <c r="AD22" s="90">
        <v>5</v>
      </c>
      <c r="AE22" s="115">
        <v>1641</v>
      </c>
      <c r="AF22" s="108">
        <v>1579</v>
      </c>
      <c r="AG22" s="14"/>
    </row>
    <row r="23" spans="1:33" x14ac:dyDescent="0.3">
      <c r="A23" s="74">
        <v>17</v>
      </c>
      <c r="B23" s="139" t="s">
        <v>147</v>
      </c>
      <c r="C23" s="74" t="s">
        <v>8</v>
      </c>
      <c r="D23" s="112">
        <v>41116</v>
      </c>
      <c r="E23" s="75">
        <v>16.073599999999999</v>
      </c>
      <c r="F23" s="87">
        <v>3.2000000000000001E-2</v>
      </c>
      <c r="G23" s="87">
        <v>21.959599999999998</v>
      </c>
      <c r="H23" s="77">
        <v>21.959900000000001</v>
      </c>
      <c r="I23" s="76">
        <v>0.15</v>
      </c>
      <c r="J23" s="78">
        <v>41465</v>
      </c>
      <c r="K23" s="121">
        <v>1465</v>
      </c>
      <c r="L23" s="74">
        <f t="shared" si="0"/>
        <v>1464.9121052736828</v>
      </c>
      <c r="M23" s="74">
        <f>+(L23/'[3]Calibration curves '!$B$18)*'[3]Background info'!$C$3/1000</f>
        <v>4.8667370577761366E-3</v>
      </c>
      <c r="N23" s="74">
        <v>0.16222456859253789</v>
      </c>
      <c r="O23" s="74">
        <v>0.15552490098351429</v>
      </c>
      <c r="P23" s="79">
        <v>4.8601531557348219</v>
      </c>
      <c r="Q23" s="80"/>
      <c r="R23" s="14"/>
      <c r="S23" s="118"/>
      <c r="T23" s="118"/>
      <c r="U23" s="119" t="s">
        <v>162</v>
      </c>
      <c r="V23" s="120" t="s">
        <v>164</v>
      </c>
      <c r="X23" s="116">
        <v>1</v>
      </c>
      <c r="Y23" s="115">
        <v>296</v>
      </c>
      <c r="Z23" s="90">
        <v>335</v>
      </c>
      <c r="AA23" s="108">
        <v>349</v>
      </c>
      <c r="AB23" s="90"/>
      <c r="AC23" s="114" t="s">
        <v>103</v>
      </c>
      <c r="AD23" s="90">
        <v>5</v>
      </c>
      <c r="AE23" s="115">
        <v>1607</v>
      </c>
      <c r="AF23" s="108">
        <v>1587</v>
      </c>
      <c r="AG23" s="14"/>
    </row>
    <row r="24" spans="1:33" x14ac:dyDescent="0.3">
      <c r="A24" s="74">
        <v>18</v>
      </c>
      <c r="B24" s="139" t="s">
        <v>147</v>
      </c>
      <c r="C24" s="74" t="s">
        <v>8</v>
      </c>
      <c r="D24" s="112">
        <v>41116</v>
      </c>
      <c r="E24" s="82">
        <v>15.937200000000001</v>
      </c>
      <c r="F24" s="82">
        <v>3.1300000000000001E-2</v>
      </c>
      <c r="G24" s="82">
        <v>21.832699999999999</v>
      </c>
      <c r="H24" s="77">
        <v>21.832100000000001</v>
      </c>
      <c r="I24" s="76">
        <v>0.15</v>
      </c>
      <c r="J24" s="78">
        <v>41465</v>
      </c>
      <c r="K24" s="121">
        <v>1295</v>
      </c>
      <c r="L24" s="74">
        <f t="shared" si="0"/>
        <v>1295.1554186502376</v>
      </c>
      <c r="M24" s="74">
        <f>+(L24/'[3]Calibration curves '!$B$18)*'[3]Background info'!$C$3/1000</f>
        <v>4.3027706910423033E-3</v>
      </c>
      <c r="N24" s="74">
        <v>0.14342568970141012</v>
      </c>
      <c r="O24" s="74">
        <v>0.13672602209238652</v>
      </c>
      <c r="P24" s="79">
        <v>4.3682435173286427</v>
      </c>
      <c r="Q24" s="80"/>
      <c r="R24" s="14"/>
      <c r="S24" s="118"/>
      <c r="T24" s="118"/>
      <c r="U24" s="140" t="s">
        <v>162</v>
      </c>
      <c r="V24" s="120"/>
      <c r="X24" s="116">
        <v>2</v>
      </c>
      <c r="Y24" s="115">
        <v>625</v>
      </c>
      <c r="Z24" s="90">
        <v>693</v>
      </c>
      <c r="AA24" s="108">
        <v>679</v>
      </c>
      <c r="AB24" s="90"/>
      <c r="AC24" s="114" t="s">
        <v>103</v>
      </c>
      <c r="AD24" s="90">
        <v>5</v>
      </c>
      <c r="AE24" s="115">
        <v>1590</v>
      </c>
      <c r="AF24" s="108">
        <v>1561</v>
      </c>
      <c r="AG24" s="14"/>
    </row>
    <row r="25" spans="1:33" x14ac:dyDescent="0.3">
      <c r="A25" s="74">
        <v>19</v>
      </c>
      <c r="B25" s="139" t="s">
        <v>148</v>
      </c>
      <c r="C25" s="139" t="s">
        <v>27</v>
      </c>
      <c r="D25" s="125">
        <v>41149</v>
      </c>
      <c r="E25" s="87">
        <v>16.0229</v>
      </c>
      <c r="F25" s="82">
        <v>3.1399999999999997E-2</v>
      </c>
      <c r="G25" s="82">
        <v>21.913499999999999</v>
      </c>
      <c r="H25" s="77">
        <v>21.912800000000001</v>
      </c>
      <c r="I25" s="76">
        <v>0.15</v>
      </c>
      <c r="J25" s="78">
        <v>41465</v>
      </c>
      <c r="K25" s="121">
        <v>4593</v>
      </c>
      <c r="L25" s="74">
        <f t="shared" si="0"/>
        <v>4593.6431100354039</v>
      </c>
      <c r="M25" s="74">
        <f>+(L25/'[3]Calibration curves '!$B$18)*'[3]Background info'!$C$3/1000</f>
        <v>1.5261020148120525E-2</v>
      </c>
      <c r="N25" s="74">
        <v>0.50870067160401755</v>
      </c>
      <c r="O25" s="74">
        <v>0.50200100399499392</v>
      </c>
      <c r="P25" s="79">
        <v>15.987293120859681</v>
      </c>
      <c r="Q25" s="80"/>
      <c r="R25" s="14"/>
      <c r="S25" s="118"/>
      <c r="T25" s="118"/>
      <c r="U25" s="120"/>
      <c r="V25" s="120"/>
      <c r="X25" s="116">
        <v>5</v>
      </c>
      <c r="Y25" s="115">
        <v>1542</v>
      </c>
      <c r="Z25" s="90">
        <v>1565</v>
      </c>
      <c r="AA25" s="108">
        <v>3073</v>
      </c>
      <c r="AB25" s="90"/>
      <c r="AC25" s="114" t="s">
        <v>104</v>
      </c>
      <c r="AD25" s="90">
        <v>50</v>
      </c>
      <c r="AE25" s="115">
        <v>15647</v>
      </c>
      <c r="AF25" s="108"/>
      <c r="AG25" s="14"/>
    </row>
    <row r="26" spans="1:33" x14ac:dyDescent="0.3">
      <c r="A26" s="74">
        <v>20</v>
      </c>
      <c r="B26" s="139" t="s">
        <v>149</v>
      </c>
      <c r="C26" s="139" t="s">
        <v>27</v>
      </c>
      <c r="D26" s="125">
        <v>41149</v>
      </c>
      <c r="E26" s="82">
        <v>16.026199999999999</v>
      </c>
      <c r="F26" s="82">
        <v>3.0099999999999998E-2</v>
      </c>
      <c r="G26" s="82">
        <v>21.907399999999999</v>
      </c>
      <c r="H26" s="77">
        <v>21.9069</v>
      </c>
      <c r="I26" s="76">
        <v>0.15</v>
      </c>
      <c r="J26" s="78">
        <v>41465</v>
      </c>
      <c r="K26" s="121">
        <v>3796</v>
      </c>
      <c r="L26" s="74">
        <f t="shared" si="0"/>
        <v>3796.3796379637952</v>
      </c>
      <c r="M26" s="74">
        <f>+(L26/'[3]Calibration curves '!$B$18)*'[3]Background info'!$C$3/1000</f>
        <v>1.2612348142220706E-2</v>
      </c>
      <c r="N26" s="74">
        <v>0.42041160474069023</v>
      </c>
      <c r="O26" s="74">
        <v>0.4137119371316666</v>
      </c>
      <c r="P26" s="79">
        <v>13.744582628959025</v>
      </c>
      <c r="Q26" s="80"/>
      <c r="R26" s="14"/>
      <c r="S26" s="118"/>
      <c r="T26" s="118"/>
      <c r="U26" s="120"/>
      <c r="V26" s="120"/>
      <c r="X26" s="116">
        <v>10</v>
      </c>
      <c r="Y26" s="115">
        <v>3123</v>
      </c>
      <c r="Z26" s="90">
        <v>3317</v>
      </c>
      <c r="AA26" s="108"/>
      <c r="AB26" s="90"/>
      <c r="AC26" s="114" t="s">
        <v>104</v>
      </c>
      <c r="AD26" s="90">
        <v>50</v>
      </c>
      <c r="AE26" s="115">
        <v>16135</v>
      </c>
      <c r="AF26" s="108"/>
      <c r="AG26" s="14"/>
    </row>
    <row r="27" spans="1:33" x14ac:dyDescent="0.3">
      <c r="A27" s="74">
        <v>21</v>
      </c>
      <c r="B27" s="139" t="s">
        <v>150</v>
      </c>
      <c r="C27" s="139" t="s">
        <v>27</v>
      </c>
      <c r="D27" s="125">
        <v>41149</v>
      </c>
      <c r="E27" s="87">
        <v>16.024000000000001</v>
      </c>
      <c r="F27" s="146">
        <v>3.1699999999999999E-2</v>
      </c>
      <c r="G27" s="146">
        <v>21.9053</v>
      </c>
      <c r="H27" s="87">
        <v>21.904399999999999</v>
      </c>
      <c r="I27" s="76">
        <v>0.15</v>
      </c>
      <c r="J27" s="78">
        <v>41465</v>
      </c>
      <c r="K27" s="121">
        <v>3597</v>
      </c>
      <c r="L27" s="74">
        <f t="shared" si="0"/>
        <v>3597.6475765637829</v>
      </c>
      <c r="M27" s="74">
        <f>+(L27/'[3]Calibration curves '!$B$18)*'[3]Background info'!$C$3/1000</f>
        <v>1.1952119665507431E-2</v>
      </c>
      <c r="N27" s="74">
        <v>0.39840398885024769</v>
      </c>
      <c r="O27" s="74">
        <v>0.39170432124122406</v>
      </c>
      <c r="P27" s="79">
        <v>12.356603193729466</v>
      </c>
      <c r="Q27" s="80"/>
      <c r="R27" s="14"/>
      <c r="S27" s="118"/>
      <c r="T27" s="118"/>
      <c r="U27" s="120"/>
      <c r="V27" s="120"/>
      <c r="X27" s="116">
        <v>50</v>
      </c>
      <c r="Y27" s="115">
        <v>15512</v>
      </c>
      <c r="Z27" s="90">
        <v>16450</v>
      </c>
      <c r="AA27" s="108">
        <v>15008</v>
      </c>
      <c r="AB27" s="90"/>
      <c r="AC27" s="114" t="s">
        <v>104</v>
      </c>
      <c r="AD27" s="90">
        <v>50</v>
      </c>
      <c r="AE27" s="115">
        <v>13610</v>
      </c>
      <c r="AF27" s="108"/>
      <c r="AG27" s="14"/>
    </row>
    <row r="28" spans="1:33" x14ac:dyDescent="0.3">
      <c r="A28" s="74">
        <v>22</v>
      </c>
      <c r="B28" s="139" t="s">
        <v>151</v>
      </c>
      <c r="C28" s="139" t="s">
        <v>27</v>
      </c>
      <c r="D28" s="125">
        <v>41081</v>
      </c>
      <c r="E28" s="82">
        <v>16.031700000000001</v>
      </c>
      <c r="F28" s="146">
        <v>3.1099999999999999E-2</v>
      </c>
      <c r="G28" s="146">
        <v>21.914400000000001</v>
      </c>
      <c r="H28" s="87">
        <v>21.9146</v>
      </c>
      <c r="I28" s="76">
        <v>0.15</v>
      </c>
      <c r="J28" s="78">
        <v>41465</v>
      </c>
      <c r="K28" s="148">
        <v>10204</v>
      </c>
      <c r="L28" s="74">
        <f t="shared" si="0"/>
        <v>10203.591856325749</v>
      </c>
      <c r="M28" s="74">
        <f>+(L28/'[3]Calibration curves '!$B$18)*'[3]Background info'!$C$3/1000</f>
        <v>3.3898415086361731E-2</v>
      </c>
      <c r="N28" s="74">
        <v>1.1299471695453911</v>
      </c>
      <c r="O28" s="74">
        <v>1.1232475019363675</v>
      </c>
      <c r="P28" s="79">
        <v>36.117283020461976</v>
      </c>
      <c r="Q28" s="80"/>
      <c r="R28" s="14"/>
      <c r="S28" s="118"/>
      <c r="T28" s="118"/>
      <c r="U28" s="119"/>
      <c r="V28" s="120"/>
      <c r="X28" s="116">
        <v>200</v>
      </c>
      <c r="Y28" s="126"/>
      <c r="Z28" s="127"/>
      <c r="AA28" s="108">
        <v>77803</v>
      </c>
      <c r="AB28" s="90"/>
      <c r="AC28" s="114" t="s">
        <v>104</v>
      </c>
      <c r="AD28" s="127">
        <v>50</v>
      </c>
      <c r="AE28" s="128">
        <v>14234</v>
      </c>
      <c r="AF28" s="129"/>
      <c r="AG28" s="14"/>
    </row>
    <row r="29" spans="1:33" x14ac:dyDescent="0.3">
      <c r="A29" s="74">
        <v>23</v>
      </c>
      <c r="B29" s="139" t="s">
        <v>152</v>
      </c>
      <c r="C29" s="139" t="s">
        <v>27</v>
      </c>
      <c r="D29" s="125">
        <v>41081</v>
      </c>
      <c r="E29" s="87">
        <v>16.048999999999999</v>
      </c>
      <c r="F29" s="151">
        <v>3.1E-2</v>
      </c>
      <c r="G29" s="146">
        <v>21.932099999999998</v>
      </c>
      <c r="H29" s="87">
        <v>21.93</v>
      </c>
      <c r="I29" s="76">
        <v>0.15</v>
      </c>
      <c r="J29" s="78">
        <v>41465</v>
      </c>
      <c r="K29" s="148">
        <v>2899</v>
      </c>
      <c r="L29" s="74">
        <f t="shared" si="0"/>
        <v>2900.2180915984709</v>
      </c>
      <c r="M29" s="74">
        <f>+(L29/'[3]Calibration curves '!$B$18)*'[3]Background info'!$C$3/1000</f>
        <v>9.6351165446735797E-3</v>
      </c>
      <c r="N29" s="74">
        <v>0.32117055148911938</v>
      </c>
      <c r="O29" s="74">
        <v>0.31447088388009575</v>
      </c>
      <c r="P29" s="79">
        <v>10.14422206064825</v>
      </c>
      <c r="Q29" s="80"/>
      <c r="R29" s="14"/>
      <c r="S29" s="118"/>
      <c r="T29" s="118"/>
      <c r="U29" s="119"/>
      <c r="V29" s="120"/>
      <c r="X29" s="131">
        <v>500</v>
      </c>
      <c r="Y29" s="132"/>
      <c r="Z29" s="132"/>
      <c r="AA29" s="133">
        <v>312462</v>
      </c>
      <c r="AB29" s="134"/>
      <c r="AC29" s="114" t="s">
        <v>104</v>
      </c>
      <c r="AD29" s="127">
        <v>1</v>
      </c>
      <c r="AE29" s="128">
        <v>381</v>
      </c>
      <c r="AF29" s="129"/>
      <c r="AG29" s="184"/>
    </row>
    <row r="30" spans="1:33" x14ac:dyDescent="0.3">
      <c r="A30" s="74">
        <v>24</v>
      </c>
      <c r="B30" s="139" t="s">
        <v>153</v>
      </c>
      <c r="C30" s="139" t="s">
        <v>27</v>
      </c>
      <c r="D30" s="125">
        <v>41081</v>
      </c>
      <c r="E30" s="87">
        <v>16.074999999999999</v>
      </c>
      <c r="F30" s="146">
        <v>3.09E-2</v>
      </c>
      <c r="G30" s="146">
        <v>21.953700000000001</v>
      </c>
      <c r="H30" s="87">
        <v>21.952999999999999</v>
      </c>
      <c r="I30" s="76">
        <v>0.15</v>
      </c>
      <c r="J30" s="78">
        <v>41465</v>
      </c>
      <c r="K30" s="148">
        <v>3895</v>
      </c>
      <c r="L30" s="74">
        <f t="shared" si="0"/>
        <v>3895.5453763526912</v>
      </c>
      <c r="M30" s="74">
        <f>+(L30/'[3]Calibration curves '!$B$18)*'[3]Background info'!$C$3/1000</f>
        <v>1.2941796968632588E-2</v>
      </c>
      <c r="N30" s="74">
        <v>0.43139323228775295</v>
      </c>
      <c r="O30" s="74">
        <v>0.42469356467872932</v>
      </c>
      <c r="P30" s="79">
        <v>13.744128306754995</v>
      </c>
      <c r="Q30" s="80"/>
      <c r="R30" s="14"/>
      <c r="S30" s="118"/>
      <c r="T30" s="118"/>
      <c r="U30" s="120"/>
      <c r="V30" s="120"/>
      <c r="X30" s="16"/>
      <c r="Y30" s="16"/>
      <c r="Z30" s="16"/>
      <c r="AA30" s="16"/>
      <c r="AB30" s="16"/>
      <c r="AC30" s="135" t="s">
        <v>104</v>
      </c>
      <c r="AD30" s="136">
        <v>50</v>
      </c>
      <c r="AE30" s="137">
        <v>13937</v>
      </c>
      <c r="AF30" s="138"/>
      <c r="AG30" s="86"/>
    </row>
    <row r="31" spans="1:33" x14ac:dyDescent="0.3">
      <c r="A31" s="74">
        <v>25</v>
      </c>
      <c r="B31" s="139" t="s">
        <v>154</v>
      </c>
      <c r="C31" s="139" t="s">
        <v>22</v>
      </c>
      <c r="D31" s="125">
        <v>41116</v>
      </c>
      <c r="E31" s="82">
        <v>16.0304</v>
      </c>
      <c r="F31" s="146">
        <v>3.0700000000000002E-2</v>
      </c>
      <c r="G31" s="146">
        <v>21.907499999999999</v>
      </c>
      <c r="H31" s="87">
        <v>21.906199999999998</v>
      </c>
      <c r="I31" s="76">
        <v>0.15</v>
      </c>
      <c r="J31" s="78">
        <v>41465</v>
      </c>
      <c r="K31" s="148">
        <v>14128</v>
      </c>
      <c r="L31" s="74">
        <f t="shared" si="0"/>
        <v>14131.674235301178</v>
      </c>
      <c r="M31" s="74">
        <f>+(L31/'[3]Calibration curves '!$B$18)*'[3]Background info'!$C$3/1000</f>
        <v>4.6948306619741906E-2</v>
      </c>
      <c r="N31" s="74">
        <v>1.564943553991397</v>
      </c>
      <c r="O31" s="74">
        <v>1.5582438863823733</v>
      </c>
      <c r="P31" s="79">
        <v>50.757129849588708</v>
      </c>
      <c r="Q31" s="80"/>
      <c r="R31" s="14"/>
      <c r="S31" s="118"/>
      <c r="T31" s="118"/>
      <c r="U31" s="120"/>
      <c r="V31" s="120"/>
      <c r="X31" s="1" t="s">
        <v>105</v>
      </c>
      <c r="Y31" s="16"/>
      <c r="Z31" s="16"/>
      <c r="AA31" s="16"/>
      <c r="AB31" s="118"/>
      <c r="AC31" s="118"/>
      <c r="AD31" s="118"/>
      <c r="AE31" s="22"/>
      <c r="AF31" s="22"/>
      <c r="AG31" s="22"/>
    </row>
    <row r="32" spans="1:33" x14ac:dyDescent="0.3">
      <c r="A32" s="74">
        <v>26</v>
      </c>
      <c r="B32" s="139" t="s">
        <v>155</v>
      </c>
      <c r="C32" s="139" t="s">
        <v>22</v>
      </c>
      <c r="D32" s="125">
        <v>41116</v>
      </c>
      <c r="E32" s="82">
        <v>16.006599999999999</v>
      </c>
      <c r="F32" s="146">
        <v>3.1600000000000003E-2</v>
      </c>
      <c r="G32" s="146">
        <v>21.883400000000002</v>
      </c>
      <c r="H32" s="87">
        <v>21.8828</v>
      </c>
      <c r="I32" s="76">
        <v>0.15</v>
      </c>
      <c r="J32" s="78">
        <v>41465</v>
      </c>
      <c r="K32" s="148">
        <v>15907</v>
      </c>
      <c r="L32" s="74">
        <f t="shared" si="0"/>
        <v>15908.909069088297</v>
      </c>
      <c r="M32" s="74">
        <f>+(L32/'[3]Calibration curves '!$B$18)*'[3]Background info'!$C$3/1000</f>
        <v>5.2852643538540509E-2</v>
      </c>
      <c r="N32" s="74">
        <v>1.761754784618017</v>
      </c>
      <c r="O32" s="74">
        <v>1.7550551170089934</v>
      </c>
      <c r="P32" s="79">
        <v>55.539718892689656</v>
      </c>
      <c r="Q32" s="80"/>
      <c r="R32" s="14"/>
      <c r="S32" s="118"/>
      <c r="T32" s="118"/>
      <c r="U32" s="120"/>
      <c r="V32" s="120"/>
      <c r="X32" s="141" t="s">
        <v>106</v>
      </c>
      <c r="Y32" s="142">
        <v>310.03513247567332</v>
      </c>
      <c r="Z32" s="142">
        <v>328.75370822551838</v>
      </c>
      <c r="AA32" s="142">
        <v>606.13841280885435</v>
      </c>
      <c r="AB32" s="106"/>
      <c r="AC32" s="143" t="s">
        <v>107</v>
      </c>
      <c r="AD32" s="120"/>
      <c r="AE32" s="22"/>
      <c r="AF32" s="120"/>
      <c r="AG32" s="145"/>
    </row>
    <row r="33" spans="1:33" x14ac:dyDescent="0.3">
      <c r="A33" s="74">
        <v>27</v>
      </c>
      <c r="B33" s="139" t="s">
        <v>156</v>
      </c>
      <c r="C33" s="139" t="s">
        <v>22</v>
      </c>
      <c r="D33" s="125">
        <v>41116</v>
      </c>
      <c r="E33" s="82">
        <v>15.9695</v>
      </c>
      <c r="F33" s="151">
        <v>3.1300000000000001E-2</v>
      </c>
      <c r="G33" s="146">
        <v>21.849900000000002</v>
      </c>
      <c r="H33" s="130">
        <v>21.8489</v>
      </c>
      <c r="I33" s="76">
        <v>0.15</v>
      </c>
      <c r="J33" s="78">
        <v>41465</v>
      </c>
      <c r="K33" s="148">
        <v>19869</v>
      </c>
      <c r="L33" s="74">
        <f t="shared" si="0"/>
        <v>19872.974594918986</v>
      </c>
      <c r="M33" s="74">
        <f>+(L33/'[3]Calibration curves '!$B$18)*'[3]Background info'!$C$3/1000</f>
        <v>6.6022078431297315E-2</v>
      </c>
      <c r="N33" s="74">
        <v>2.2007359477099104</v>
      </c>
      <c r="O33" s="74">
        <v>2.194036280100887</v>
      </c>
      <c r="P33" s="79">
        <v>70.09700575402195</v>
      </c>
      <c r="Q33" s="155"/>
      <c r="R33" s="14"/>
      <c r="S33" s="118"/>
      <c r="T33" s="16"/>
      <c r="U33" s="14"/>
      <c r="V33" s="14"/>
      <c r="X33" s="144" t="s">
        <v>108</v>
      </c>
      <c r="Y33" s="145">
        <v>42</v>
      </c>
      <c r="Z33" s="145">
        <v>43</v>
      </c>
      <c r="AA33" s="145">
        <v>47</v>
      </c>
      <c r="AB33" s="106"/>
      <c r="AC33" s="115" t="s">
        <v>169</v>
      </c>
      <c r="AD33" s="120"/>
      <c r="AE33" s="22"/>
      <c r="AF33" s="120"/>
      <c r="AG33" s="145"/>
    </row>
    <row r="34" spans="1:33" x14ac:dyDescent="0.3">
      <c r="A34" s="74">
        <v>28</v>
      </c>
      <c r="B34" s="74" t="s">
        <v>157</v>
      </c>
      <c r="C34" s="139" t="s">
        <v>22</v>
      </c>
      <c r="D34" s="112">
        <v>41080</v>
      </c>
      <c r="E34" s="82">
        <v>15.997299999999999</v>
      </c>
      <c r="F34" s="151">
        <v>3.1899999999999998E-2</v>
      </c>
      <c r="G34" s="159">
        <v>21.879200000000001</v>
      </c>
      <c r="H34" s="87">
        <v>21.8797</v>
      </c>
      <c r="I34" s="157">
        <v>0.15</v>
      </c>
      <c r="J34" s="78">
        <v>41465</v>
      </c>
      <c r="K34" s="148">
        <v>10515</v>
      </c>
      <c r="L34" s="74">
        <f t="shared" si="0"/>
        <v>10513.948605139489</v>
      </c>
      <c r="M34" s="74">
        <f>+(L34/'[3]Calibration curves '!$B$18)*'[3]Background info'!$C$3/1000</f>
        <v>3.4929483561490865E-2</v>
      </c>
      <c r="N34" s="74">
        <v>1.1643161187163622</v>
      </c>
      <c r="O34" s="74">
        <v>1.1576164511073386</v>
      </c>
      <c r="P34" s="79">
        <v>36.288916962612497</v>
      </c>
      <c r="Q34" s="155"/>
      <c r="R34" s="14"/>
      <c r="S34" s="118"/>
      <c r="T34" s="16"/>
      <c r="U34" s="14"/>
      <c r="V34" s="14"/>
      <c r="X34" s="149" t="s">
        <v>110</v>
      </c>
      <c r="Y34" s="150">
        <v>10.227632202339464</v>
      </c>
      <c r="Z34" s="150">
        <v>8.7672837931409049</v>
      </c>
      <c r="AA34" s="150">
        <v>-6268.4982644395059</v>
      </c>
      <c r="AB34" s="106"/>
      <c r="AC34" s="115" t="s">
        <v>111</v>
      </c>
      <c r="AD34" s="120"/>
      <c r="AE34" s="22"/>
      <c r="AF34" s="120"/>
      <c r="AG34" s="145"/>
    </row>
    <row r="35" spans="1:33" x14ac:dyDescent="0.3">
      <c r="A35" s="74">
        <v>29</v>
      </c>
      <c r="B35" s="74" t="s">
        <v>158</v>
      </c>
      <c r="C35" s="139" t="s">
        <v>22</v>
      </c>
      <c r="D35" s="112">
        <v>41080</v>
      </c>
      <c r="E35" s="87">
        <v>15.974</v>
      </c>
      <c r="F35" s="151">
        <v>3.1300000000000001E-2</v>
      </c>
      <c r="G35" s="151">
        <v>21.855</v>
      </c>
      <c r="H35" s="130">
        <v>21.854500000000002</v>
      </c>
      <c r="I35" s="76">
        <v>0.15</v>
      </c>
      <c r="J35" s="78">
        <v>41465</v>
      </c>
      <c r="K35" s="148">
        <v>10851</v>
      </c>
      <c r="L35" s="74">
        <f t="shared" si="0"/>
        <v>10852.085208520848</v>
      </c>
      <c r="M35" s="74">
        <f>+(L35/'[3]Calibration curves '!$B$18)*'[3]Background info'!$C$3/1000</f>
        <v>3.6052842384414349E-2</v>
      </c>
      <c r="N35" s="74">
        <v>1.2017614128138119</v>
      </c>
      <c r="O35" s="74">
        <v>1.1950617452047883</v>
      </c>
      <c r="P35" s="79">
        <v>38.180886428267996</v>
      </c>
      <c r="Q35" s="155"/>
      <c r="R35" s="14"/>
      <c r="S35" s="118"/>
      <c r="T35" s="16"/>
      <c r="U35" s="14"/>
      <c r="V35" s="14"/>
      <c r="X35" s="16"/>
      <c r="Y35" s="153"/>
      <c r="Z35" s="153"/>
      <c r="AA35" s="14"/>
      <c r="AB35" s="106"/>
      <c r="AC35" s="22"/>
      <c r="AD35" s="120"/>
      <c r="AE35" s="22"/>
      <c r="AF35" s="120"/>
      <c r="AG35" s="145"/>
    </row>
    <row r="36" spans="1:33" ht="15" thickBot="1" x14ac:dyDescent="0.35">
      <c r="A36" s="74">
        <v>30</v>
      </c>
      <c r="B36" s="74" t="s">
        <v>159</v>
      </c>
      <c r="C36" s="139" t="s">
        <v>22</v>
      </c>
      <c r="D36" s="112">
        <v>41080</v>
      </c>
      <c r="E36" s="87">
        <v>15.9863</v>
      </c>
      <c r="F36" s="146">
        <v>3.15E-2</v>
      </c>
      <c r="G36" s="87">
        <v>21.858000000000001</v>
      </c>
      <c r="H36" s="87">
        <v>21.854900000000001</v>
      </c>
      <c r="I36" s="76">
        <v>0.15</v>
      </c>
      <c r="J36" s="78">
        <v>41465</v>
      </c>
      <c r="K36" s="148">
        <v>11486</v>
      </c>
      <c r="L36" s="74">
        <f t="shared" si="0"/>
        <v>11493.125737957533</v>
      </c>
      <c r="M36" s="74">
        <f>+(L36/'[3]Calibration curves '!$B$18)*'[3]Background info'!$C$3/1000</f>
        <v>3.8182509883860058E-2</v>
      </c>
      <c r="N36" s="74">
        <v>1.2727503294620022</v>
      </c>
      <c r="O36" s="74">
        <v>1.2660506618529785</v>
      </c>
      <c r="P36" s="79">
        <v>40.192084503269157</v>
      </c>
      <c r="Q36" s="155"/>
      <c r="R36" s="14"/>
      <c r="S36" s="118"/>
      <c r="X36" s="16"/>
      <c r="Y36" s="153"/>
      <c r="Z36" s="153"/>
      <c r="AA36" s="14"/>
      <c r="AB36" s="106"/>
      <c r="AC36" s="26"/>
      <c r="AD36" s="120"/>
      <c r="AE36" s="22"/>
      <c r="AF36" s="120"/>
      <c r="AG36" s="145"/>
    </row>
    <row r="37" spans="1:33" x14ac:dyDescent="0.3">
      <c r="A37" s="74">
        <v>31</v>
      </c>
      <c r="B37" s="74" t="s">
        <v>165</v>
      </c>
      <c r="C37" s="74"/>
      <c r="D37" s="74"/>
      <c r="E37" s="87">
        <v>15.9155</v>
      </c>
      <c r="F37" s="146">
        <v>3.1300000000000001E-2</v>
      </c>
      <c r="G37" s="82">
        <v>21.7971</v>
      </c>
      <c r="H37" s="87">
        <v>21.795500000000001</v>
      </c>
      <c r="I37" s="76">
        <v>0.15</v>
      </c>
      <c r="J37" s="78">
        <v>41465</v>
      </c>
      <c r="K37" s="81">
        <v>2222</v>
      </c>
      <c r="L37" s="74">
        <f t="shared" si="0"/>
        <v>2222.7112676056336</v>
      </c>
      <c r="M37" s="74">
        <f>+(L37/'[3]Calibration curves '!$B$18)*'[3]Background info'!$C$3/1000</f>
        <v>7.3843005705601381E-3</v>
      </c>
      <c r="N37" s="74">
        <v>0.24614335235200463</v>
      </c>
      <c r="O37" s="74">
        <v>0.23944368474298103</v>
      </c>
      <c r="P37" s="79">
        <v>7.6499579790089784</v>
      </c>
      <c r="Q37" s="155"/>
      <c r="R37" s="14"/>
      <c r="S37" s="160">
        <f>P37*1.063</f>
        <v>8.1319053316865428</v>
      </c>
      <c r="T37" s="161">
        <f>AVERAGE(S37:S38)</f>
        <v>8.1575606314847278</v>
      </c>
      <c r="U37" s="162">
        <v>7.64</v>
      </c>
      <c r="V37" s="163" t="s">
        <v>77</v>
      </c>
      <c r="X37" s="1" t="s">
        <v>112</v>
      </c>
      <c r="Y37" s="153"/>
      <c r="Z37" s="153"/>
      <c r="AA37" s="14"/>
      <c r="AB37" s="106"/>
      <c r="AC37" s="17"/>
      <c r="AD37" s="120"/>
      <c r="AE37" s="22"/>
      <c r="AF37" s="120"/>
      <c r="AG37" s="145"/>
    </row>
    <row r="38" spans="1:33" x14ac:dyDescent="0.3">
      <c r="A38" s="74">
        <v>32</v>
      </c>
      <c r="B38" s="74" t="s">
        <v>165</v>
      </c>
      <c r="C38" s="139"/>
      <c r="D38" s="139"/>
      <c r="E38" s="82">
        <v>16.012899999999998</v>
      </c>
      <c r="F38" s="146">
        <v>3.0499999999999999E-2</v>
      </c>
      <c r="G38" s="82">
        <v>21.883900000000001</v>
      </c>
      <c r="H38" s="87">
        <v>21.882200000000001</v>
      </c>
      <c r="I38" s="76">
        <v>0.15</v>
      </c>
      <c r="J38" s="78">
        <v>41465</v>
      </c>
      <c r="K38" s="81">
        <v>2180</v>
      </c>
      <c r="L38" s="74">
        <f t="shared" si="0"/>
        <v>2180.7414520937114</v>
      </c>
      <c r="M38" s="74">
        <f>+(L38/'[3]Calibration curves '!$B$18)*'[3]Background info'!$C$3/1000</f>
        <v>7.2448682758002158E-3</v>
      </c>
      <c r="N38" s="74">
        <v>0.24149560919334054</v>
      </c>
      <c r="O38" s="74">
        <v>0.23479594158431694</v>
      </c>
      <c r="P38" s="79">
        <v>7.6982275929284247</v>
      </c>
      <c r="Q38" s="88"/>
      <c r="R38" s="14"/>
      <c r="S38" s="164">
        <f>P38*1.063</f>
        <v>8.1832159312829145</v>
      </c>
      <c r="T38" s="118"/>
      <c r="U38" s="120"/>
      <c r="V38" s="165"/>
      <c r="X38" s="141" t="s">
        <v>106</v>
      </c>
      <c r="Y38" s="142">
        <v>310.02504268639728</v>
      </c>
      <c r="Z38" s="142">
        <v>326.48036425725667</v>
      </c>
      <c r="AA38" s="142">
        <v>620</v>
      </c>
      <c r="AB38" s="106"/>
      <c r="AC38" s="17"/>
      <c r="AD38" s="120"/>
      <c r="AE38" s="22"/>
      <c r="AF38" s="120"/>
      <c r="AG38" s="145"/>
    </row>
    <row r="39" spans="1:33" x14ac:dyDescent="0.3">
      <c r="A39" s="74">
        <v>33</v>
      </c>
      <c r="B39" s="139" t="s">
        <v>166</v>
      </c>
      <c r="C39" s="139"/>
      <c r="D39" s="139"/>
      <c r="E39" s="82">
        <v>15.958500000000001</v>
      </c>
      <c r="F39" s="146">
        <v>3.1199999999999999E-2</v>
      </c>
      <c r="G39" s="82">
        <v>21.837800000000001</v>
      </c>
      <c r="H39" s="87">
        <v>21.837</v>
      </c>
      <c r="I39" s="76">
        <v>0.15</v>
      </c>
      <c r="J39" s="78">
        <v>41465</v>
      </c>
      <c r="K39" s="81">
        <v>23320</v>
      </c>
      <c r="L39" s="74">
        <f t="shared" si="0"/>
        <v>23323.731797087541</v>
      </c>
      <c r="M39" s="74">
        <f>+(L39/'[3]Calibration curves '!$B$18)*'[3]Background info'!$C$3/1000</f>
        <v>7.7486198287173638E-2</v>
      </c>
      <c r="N39" s="74">
        <v>2.5828732762391211</v>
      </c>
      <c r="O39" s="74">
        <v>2.5761736086300977</v>
      </c>
      <c r="P39" s="79">
        <v>82.569666943272367</v>
      </c>
      <c r="Q39" s="88">
        <v>116.95268977332243</v>
      </c>
      <c r="R39" s="14"/>
      <c r="S39" s="164"/>
      <c r="T39" s="118"/>
      <c r="U39" s="26"/>
      <c r="V39" s="166"/>
      <c r="X39" s="144" t="s">
        <v>108</v>
      </c>
      <c r="Y39" s="145">
        <v>42</v>
      </c>
      <c r="Z39" s="145">
        <v>43</v>
      </c>
      <c r="AA39" s="145">
        <v>47</v>
      </c>
      <c r="AB39" s="106"/>
      <c r="AC39" s="17"/>
      <c r="AD39" s="120"/>
      <c r="AE39" s="22"/>
      <c r="AF39" s="120"/>
      <c r="AG39" s="145"/>
    </row>
    <row r="40" spans="1:33" x14ac:dyDescent="0.3">
      <c r="A40" s="74">
        <v>34</v>
      </c>
      <c r="B40" s="139" t="s">
        <v>166</v>
      </c>
      <c r="C40" s="139"/>
      <c r="D40" s="139"/>
      <c r="E40" s="82">
        <v>16.0152</v>
      </c>
      <c r="F40" s="146">
        <v>3.4599999999999999E-2</v>
      </c>
      <c r="G40" s="82">
        <v>21.908200000000001</v>
      </c>
      <c r="H40" s="87">
        <v>21.908000000000001</v>
      </c>
      <c r="I40" s="76">
        <v>0.15</v>
      </c>
      <c r="J40" s="78">
        <v>41465</v>
      </c>
      <c r="K40" s="81">
        <v>21738</v>
      </c>
      <c r="L40" s="74">
        <f t="shared" si="0"/>
        <v>21738.869554782188</v>
      </c>
      <c r="M40" s="74">
        <f>+(L40/'[3]Calibration curves '!$B$18)*'[3]Background info'!$C$3/1000</f>
        <v>7.2220962387811158E-2</v>
      </c>
      <c r="N40" s="74">
        <v>2.4073654129270388</v>
      </c>
      <c r="O40" s="74">
        <v>2.4006657453180154</v>
      </c>
      <c r="P40" s="79">
        <v>69.383403043873273</v>
      </c>
      <c r="Q40" s="88">
        <v>108.1772966077183</v>
      </c>
      <c r="R40" s="14"/>
      <c r="S40" s="164"/>
      <c r="T40" s="11"/>
      <c r="U40" s="154"/>
      <c r="V40" s="165"/>
      <c r="X40" s="149" t="s">
        <v>110</v>
      </c>
      <c r="Y40" s="150">
        <v>10.256118383608282</v>
      </c>
      <c r="Z40" s="150">
        <v>15.185543540125309</v>
      </c>
      <c r="AA40" s="150">
        <v>-187</v>
      </c>
      <c r="AB40" s="88"/>
      <c r="AC40" s="156"/>
      <c r="AD40" s="145"/>
      <c r="AE40" s="145"/>
      <c r="AF40" s="145"/>
      <c r="AG40" s="145"/>
    </row>
    <row r="41" spans="1:33" x14ac:dyDescent="0.3">
      <c r="A41" s="74">
        <v>35</v>
      </c>
      <c r="B41" s="139" t="s">
        <v>167</v>
      </c>
      <c r="C41" s="139"/>
      <c r="D41" s="139"/>
      <c r="E41" s="82">
        <v>15.9975</v>
      </c>
      <c r="F41" s="146">
        <v>3.3099999999999997E-2</v>
      </c>
      <c r="G41" s="87">
        <v>21.868500000000001</v>
      </c>
      <c r="H41" s="87">
        <v>21.868400000000001</v>
      </c>
      <c r="I41" s="82">
        <v>0.15</v>
      </c>
      <c r="J41" s="78">
        <v>41465</v>
      </c>
      <c r="K41" s="81">
        <v>28222</v>
      </c>
      <c r="L41" s="74">
        <f t="shared" si="0"/>
        <v>28222.564451289025</v>
      </c>
      <c r="M41" s="74">
        <f>+(L41/'[3]Calibration curves '!$B$18)*'[3]Background info'!$C$3/1000</f>
        <v>9.376112040176153E-2</v>
      </c>
      <c r="N41" s="74">
        <v>3.125370680058718</v>
      </c>
      <c r="O41" s="74">
        <v>3.1186710124496946</v>
      </c>
      <c r="P41" s="79">
        <v>94.219668049839726</v>
      </c>
      <c r="Q41" s="88"/>
      <c r="R41" s="14"/>
      <c r="S41" s="164">
        <f>P41*1.063</f>
        <v>100.15550713697962</v>
      </c>
      <c r="T41" s="118">
        <f>AVERAGE(S41:S42)</f>
        <v>100.78136937155405</v>
      </c>
      <c r="U41" s="119">
        <v>99.08</v>
      </c>
      <c r="V41" s="165"/>
      <c r="X41" s="14"/>
      <c r="Y41" s="16"/>
      <c r="Z41" s="16"/>
      <c r="AA41" s="16"/>
      <c r="AB41" s="16"/>
      <c r="AC41" s="16"/>
      <c r="AD41" s="16"/>
      <c r="AE41" s="158"/>
      <c r="AF41" s="16"/>
      <c r="AG41" s="14"/>
    </row>
    <row r="42" spans="1:33" ht="15" thickBot="1" x14ac:dyDescent="0.35">
      <c r="A42" s="74">
        <v>36</v>
      </c>
      <c r="B42" s="139" t="s">
        <v>167</v>
      </c>
      <c r="C42" s="139"/>
      <c r="D42" s="139"/>
      <c r="E42" s="82">
        <v>15.9976</v>
      </c>
      <c r="F42" s="146">
        <v>3.0800000000000001E-2</v>
      </c>
      <c r="G42" s="87">
        <v>21.868300000000001</v>
      </c>
      <c r="H42" s="87">
        <v>21.867699999999999</v>
      </c>
      <c r="I42" s="82">
        <v>0.15</v>
      </c>
      <c r="J42" s="78">
        <v>41465</v>
      </c>
      <c r="K42" s="81">
        <v>26590</v>
      </c>
      <c r="L42" s="74">
        <f t="shared" si="0"/>
        <v>26593.191182941962</v>
      </c>
      <c r="M42" s="74">
        <f>+(L42/'[3]Calibration curves '!$B$18)*'[3]Background info'!$C$3/1000</f>
        <v>8.8348009787501861E-2</v>
      </c>
      <c r="N42" s="74">
        <v>2.9449336595833953</v>
      </c>
      <c r="O42" s="74">
        <v>2.9382339919743719</v>
      </c>
      <c r="P42" s="79">
        <v>95.397207531635445</v>
      </c>
      <c r="Q42" s="88"/>
      <c r="R42" s="14"/>
      <c r="S42" s="168">
        <f>P42*1.063</f>
        <v>101.40723160612848</v>
      </c>
      <c r="T42" s="169"/>
      <c r="U42" s="170"/>
      <c r="V42" s="171"/>
      <c r="X42" s="14"/>
      <c r="Y42" s="14"/>
      <c r="Z42" s="14"/>
      <c r="AA42" s="14"/>
      <c r="AB42" s="14"/>
      <c r="AC42" s="14"/>
      <c r="AD42" s="14"/>
      <c r="AE42" s="86"/>
      <c r="AF42" s="22"/>
      <c r="AG42" s="14"/>
    </row>
    <row r="43" spans="1:33" x14ac:dyDescent="0.3">
      <c r="A43" s="74">
        <v>37</v>
      </c>
      <c r="B43" s="139" t="s">
        <v>168</v>
      </c>
      <c r="C43" s="139"/>
      <c r="D43" s="139"/>
      <c r="E43" s="87">
        <v>16.097999999999999</v>
      </c>
      <c r="F43" s="151">
        <v>3.2500000000000001E-2</v>
      </c>
      <c r="G43" s="82">
        <v>21.990300000000001</v>
      </c>
      <c r="H43" s="87">
        <v>21.989799999999999</v>
      </c>
      <c r="I43" s="82">
        <v>0.15</v>
      </c>
      <c r="J43" s="78">
        <v>41465</v>
      </c>
      <c r="K43" s="81">
        <v>46195</v>
      </c>
      <c r="L43" s="74">
        <f t="shared" si="0"/>
        <v>46199.619961996228</v>
      </c>
      <c r="M43" s="74">
        <f>+(L43/'[3]Calibration curves '!$B$18)*'[3]Background info'!$C$3/1000</f>
        <v>0.15348456860639784</v>
      </c>
      <c r="N43" s="74">
        <v>5.1161522868799283</v>
      </c>
      <c r="O43" s="74">
        <v>5.1094526192709049</v>
      </c>
      <c r="P43" s="79">
        <v>157.21392674679706</v>
      </c>
      <c r="Q43" s="88">
        <v>104.05000585294357</v>
      </c>
      <c r="R43" s="14"/>
      <c r="S43" s="16"/>
      <c r="X43" s="14"/>
      <c r="Y43" s="14"/>
      <c r="Z43" s="14"/>
      <c r="AA43" s="14"/>
      <c r="AB43" s="14"/>
      <c r="AC43" s="14"/>
      <c r="AD43" s="14"/>
      <c r="AE43" s="86"/>
      <c r="AF43" s="22"/>
      <c r="AG43" s="14"/>
    </row>
    <row r="44" spans="1:33" x14ac:dyDescent="0.3">
      <c r="A44" s="74">
        <v>38</v>
      </c>
      <c r="B44" s="139" t="s">
        <v>168</v>
      </c>
      <c r="C44" s="139"/>
      <c r="D44" s="139"/>
      <c r="E44" s="82">
        <v>15.985900000000001</v>
      </c>
      <c r="F44" s="146">
        <v>2.9899999999999999E-2</v>
      </c>
      <c r="G44" s="82">
        <v>21.870100000000001</v>
      </c>
      <c r="H44" s="87">
        <v>21.870100000000001</v>
      </c>
      <c r="I44" s="82">
        <v>0.15</v>
      </c>
      <c r="J44" s="78">
        <v>41465</v>
      </c>
      <c r="K44" s="81">
        <v>45195</v>
      </c>
      <c r="L44" s="74">
        <f t="shared" si="0"/>
        <v>45195</v>
      </c>
      <c r="M44" s="74">
        <f>+(L44/'[3]Calibration curves '!$B$18)*'[3]Background info'!$C$3/1000</f>
        <v>0.15014701601165339</v>
      </c>
      <c r="N44" s="74">
        <v>5.0049005337217798</v>
      </c>
      <c r="O44" s="74">
        <v>4.9982008661127564</v>
      </c>
      <c r="P44" s="79">
        <v>167.16390856564402</v>
      </c>
      <c r="Q44" s="88">
        <v>98.487418195036142</v>
      </c>
      <c r="R44" s="14"/>
      <c r="S44" s="16"/>
      <c r="X44" s="14"/>
      <c r="Y44" s="14"/>
      <c r="Z44" s="14"/>
      <c r="AA44" s="14"/>
      <c r="AB44" s="14"/>
      <c r="AC44" s="14"/>
      <c r="AD44" s="14"/>
      <c r="AE44" s="86"/>
      <c r="AF44" s="14"/>
      <c r="AG44" s="14"/>
    </row>
    <row r="45" spans="1:33" x14ac:dyDescent="0.3">
      <c r="A45" s="74">
        <v>39</v>
      </c>
      <c r="B45" s="139" t="s">
        <v>81</v>
      </c>
      <c r="C45" s="139"/>
      <c r="D45" s="139"/>
      <c r="E45" s="82">
        <v>15.952400000000001</v>
      </c>
      <c r="F45" s="146">
        <v>2.58E-2</v>
      </c>
      <c r="G45" s="87">
        <v>21.8125</v>
      </c>
      <c r="H45" s="87">
        <v>21.812100000000001</v>
      </c>
      <c r="I45" s="82">
        <v>0.15</v>
      </c>
      <c r="J45" s="78">
        <v>41465</v>
      </c>
      <c r="K45" s="81">
        <v>5463</v>
      </c>
      <c r="L45" s="74">
        <f t="shared" si="0"/>
        <v>5463.4370749659956</v>
      </c>
      <c r="M45" s="74">
        <f>+(L45/'[3]Calibration curves '!$B$18)*'[3]Background info'!$C$3/1000</f>
        <v>1.8150653257519196E-2</v>
      </c>
      <c r="N45" s="74">
        <v>0.60502177525063983</v>
      </c>
      <c r="O45" s="74">
        <v>0.5983221076416162</v>
      </c>
      <c r="P45" s="79">
        <v>23.190779365954118</v>
      </c>
      <c r="Q45" s="88"/>
      <c r="R45" s="14"/>
      <c r="S45" s="16">
        <f>P45*1.051</f>
        <v>24.373509113617775</v>
      </c>
      <c r="T45" s="16">
        <f>AVERAGE(S45:S46)</f>
        <v>23.778145537107399</v>
      </c>
      <c r="U45" s="172" t="s">
        <v>82</v>
      </c>
      <c r="V45" s="83" t="s">
        <v>81</v>
      </c>
      <c r="X45" s="14"/>
      <c r="Y45" s="14"/>
      <c r="Z45" s="14"/>
      <c r="AA45" s="14"/>
      <c r="AB45" s="14"/>
      <c r="AC45" s="14"/>
      <c r="AD45" s="14"/>
      <c r="AE45" s="86"/>
      <c r="AF45" s="86"/>
      <c r="AG45" s="86"/>
    </row>
    <row r="46" spans="1:33" x14ac:dyDescent="0.3">
      <c r="A46" s="74">
        <v>40</v>
      </c>
      <c r="B46" s="139" t="s">
        <v>81</v>
      </c>
      <c r="C46" s="139"/>
      <c r="D46" s="139"/>
      <c r="E46" s="87">
        <v>16.141500000000001</v>
      </c>
      <c r="F46" s="82">
        <v>2.4799999999999999E-2</v>
      </c>
      <c r="G46" s="87">
        <v>22.010999999999999</v>
      </c>
      <c r="H46" s="87">
        <v>22.0107</v>
      </c>
      <c r="I46" s="82">
        <v>0.15</v>
      </c>
      <c r="J46" s="78">
        <v>41465</v>
      </c>
      <c r="K46" s="81">
        <v>5000</v>
      </c>
      <c r="L46" s="74">
        <f t="shared" si="0"/>
        <v>5000.3000180010795</v>
      </c>
      <c r="M46" s="74">
        <f>+(L46/'[3]Calibration curves '!$B$18)*'[3]Background info'!$C$3/1000</f>
        <v>1.661201741046308E-2</v>
      </c>
      <c r="N46" s="74">
        <v>0.55373391368210279</v>
      </c>
      <c r="O46" s="74">
        <v>0.54703424607307916</v>
      </c>
      <c r="P46" s="79">
        <v>22.057832502946741</v>
      </c>
      <c r="Q46" s="88"/>
      <c r="R46" s="14"/>
      <c r="S46" s="16">
        <f>P46*1.051</f>
        <v>23.182781960597023</v>
      </c>
      <c r="X46" s="14"/>
      <c r="Y46" s="14"/>
      <c r="Z46" s="14"/>
      <c r="AA46" s="14"/>
      <c r="AB46" s="14"/>
      <c r="AC46" s="14"/>
      <c r="AD46" s="14"/>
      <c r="AE46" s="86"/>
      <c r="AF46" s="14"/>
      <c r="AG46" s="14"/>
    </row>
    <row r="47" spans="1:33" x14ac:dyDescent="0.3">
      <c r="E47" s="17"/>
      <c r="H47" s="14"/>
      <c r="I47" s="14"/>
      <c r="J47" s="14"/>
      <c r="K47" s="14"/>
      <c r="L47" s="14"/>
      <c r="M47" s="14"/>
      <c r="N47" s="14"/>
      <c r="O47" s="14"/>
      <c r="P47" s="24"/>
      <c r="Q47" s="25"/>
      <c r="R47" s="14"/>
      <c r="X47" s="14"/>
      <c r="Y47" s="14"/>
      <c r="Z47" s="14"/>
      <c r="AA47" s="14"/>
      <c r="AB47" s="14"/>
      <c r="AC47" s="14"/>
      <c r="AD47" s="14"/>
      <c r="AE47" s="86"/>
      <c r="AF47" s="14"/>
      <c r="AG47" s="14"/>
    </row>
    <row r="48" spans="1:33" x14ac:dyDescent="0.3">
      <c r="X48" s="14"/>
      <c r="Y48" s="14"/>
      <c r="Z48" s="14"/>
      <c r="AA48" s="14"/>
      <c r="AB48" s="14"/>
      <c r="AC48" s="14"/>
      <c r="AD48" s="14"/>
      <c r="AE48" s="86"/>
      <c r="AF48" s="167"/>
      <c r="AG48" s="167"/>
    </row>
    <row r="49" spans="24:33" x14ac:dyDescent="0.3">
      <c r="X49" s="14"/>
      <c r="Y49" s="14"/>
      <c r="Z49" s="14"/>
      <c r="AA49" s="14"/>
      <c r="AB49" s="14"/>
      <c r="AC49" s="14"/>
      <c r="AD49" s="14"/>
      <c r="AE49" s="86"/>
      <c r="AF49" s="167"/>
      <c r="AG49" s="167"/>
    </row>
    <row r="50" spans="24:33" x14ac:dyDescent="0.3">
      <c r="X50" s="14"/>
      <c r="Y50" s="14"/>
      <c r="Z50" s="14"/>
      <c r="AA50" s="14"/>
      <c r="AB50" s="14"/>
      <c r="AC50" s="14"/>
      <c r="AD50" s="14"/>
      <c r="AE50" s="86"/>
      <c r="AF50" s="14"/>
      <c r="AG50" s="14"/>
    </row>
    <row r="51" spans="24:33" x14ac:dyDescent="0.3">
      <c r="X51" s="14"/>
      <c r="Y51" s="14"/>
      <c r="Z51" s="14"/>
      <c r="AA51" s="14"/>
      <c r="AB51" s="14"/>
      <c r="AC51" s="14"/>
      <c r="AD51" s="14"/>
      <c r="AE51" s="86"/>
      <c r="AF51" s="14"/>
      <c r="AG51" s="14"/>
    </row>
    <row r="52" spans="24:33" x14ac:dyDescent="0.3">
      <c r="X52" s="14"/>
      <c r="Y52" s="14"/>
      <c r="Z52" s="14"/>
      <c r="AA52" s="14"/>
      <c r="AB52" s="14"/>
      <c r="AC52" s="14"/>
      <c r="AD52" s="14"/>
      <c r="AE52" s="86"/>
      <c r="AF52" s="14"/>
      <c r="AG52" s="14"/>
    </row>
    <row r="53" spans="24:33" x14ac:dyDescent="0.3">
      <c r="X53" s="14"/>
      <c r="Y53" s="14"/>
      <c r="Z53" s="14"/>
      <c r="AA53" s="14"/>
      <c r="AB53" s="14"/>
      <c r="AC53" s="14"/>
      <c r="AD53" s="14"/>
      <c r="AE53" s="86"/>
      <c r="AF53" s="14"/>
      <c r="AG53" s="14"/>
    </row>
    <row r="54" spans="24:33" x14ac:dyDescent="0.3">
      <c r="X54" s="14"/>
      <c r="Y54" s="14"/>
      <c r="Z54" s="14"/>
      <c r="AA54" s="14"/>
      <c r="AB54" s="14"/>
      <c r="AC54" s="14"/>
      <c r="AD54" s="14"/>
      <c r="AE54" s="86"/>
      <c r="AF54" s="14"/>
      <c r="AG54" s="14"/>
    </row>
    <row r="55" spans="24:33" x14ac:dyDescent="0.3">
      <c r="X55" s="14"/>
      <c r="Y55" s="14"/>
      <c r="Z55" s="14"/>
      <c r="AA55" s="14"/>
      <c r="AB55" s="14"/>
      <c r="AC55" s="14"/>
      <c r="AD55" s="14"/>
      <c r="AE55" s="86"/>
      <c r="AF55" s="14"/>
      <c r="AG55" s="14"/>
    </row>
    <row r="56" spans="24:33" x14ac:dyDescent="0.3">
      <c r="X56" s="14"/>
      <c r="Y56" s="14"/>
      <c r="Z56" s="14"/>
      <c r="AA56" s="14"/>
      <c r="AB56" s="14"/>
      <c r="AC56" s="14"/>
      <c r="AD56" s="14"/>
      <c r="AE56" s="86"/>
      <c r="AF56" s="14"/>
      <c r="AG56" s="14"/>
    </row>
    <row r="57" spans="24:33" x14ac:dyDescent="0.3">
      <c r="X57" s="14"/>
      <c r="Y57" s="14"/>
      <c r="Z57" s="14"/>
      <c r="AA57" s="14"/>
      <c r="AB57" s="14"/>
      <c r="AC57" s="14"/>
      <c r="AD57" s="14"/>
      <c r="AE57" s="86"/>
      <c r="AF57" s="14"/>
      <c r="AG57" s="14"/>
    </row>
    <row r="58" spans="24:33" x14ac:dyDescent="0.3">
      <c r="X58" s="14"/>
      <c r="Y58" s="14"/>
      <c r="Z58" s="14"/>
      <c r="AA58" s="14"/>
      <c r="AB58" s="14"/>
      <c r="AC58" s="14"/>
      <c r="AD58" s="14"/>
      <c r="AE58" s="86"/>
      <c r="AF58" s="14"/>
      <c r="AG58" s="14"/>
    </row>
    <row r="59" spans="24:33" x14ac:dyDescent="0.3">
      <c r="X59" s="14"/>
      <c r="Y59" s="14"/>
      <c r="Z59" s="14"/>
      <c r="AA59" s="14"/>
      <c r="AB59" s="14"/>
      <c r="AC59" s="14"/>
      <c r="AD59" s="14"/>
      <c r="AE59" s="86"/>
      <c r="AF59" s="14"/>
      <c r="AG59" s="14"/>
    </row>
    <row r="60" spans="24:33" x14ac:dyDescent="0.3">
      <c r="X60" s="14"/>
      <c r="Y60" s="14"/>
      <c r="Z60" s="14"/>
      <c r="AA60" s="14"/>
      <c r="AB60" s="14"/>
      <c r="AC60" s="14"/>
      <c r="AD60" s="14"/>
      <c r="AE60" s="86"/>
      <c r="AF60" s="14"/>
      <c r="AG60" s="14"/>
    </row>
    <row r="61" spans="24:33" x14ac:dyDescent="0.3">
      <c r="X61" s="14"/>
      <c r="Y61" s="14"/>
      <c r="Z61" s="14"/>
      <c r="AA61" s="14"/>
      <c r="AB61" s="14"/>
      <c r="AC61" s="14"/>
      <c r="AD61" s="14"/>
      <c r="AE61" s="86"/>
      <c r="AF61" s="14"/>
      <c r="AG61" s="14"/>
    </row>
    <row r="62" spans="24:33" x14ac:dyDescent="0.3">
      <c r="X62" s="14"/>
      <c r="Y62" s="14"/>
      <c r="Z62" s="14"/>
      <c r="AA62" s="14"/>
      <c r="AB62" s="14"/>
      <c r="AC62" s="14"/>
      <c r="AD62" s="14"/>
      <c r="AE62" s="86"/>
      <c r="AF62" s="14"/>
      <c r="AG62" s="14"/>
    </row>
    <row r="63" spans="24:33" x14ac:dyDescent="0.3">
      <c r="X63" s="14"/>
      <c r="Y63" s="14"/>
      <c r="Z63" s="14"/>
      <c r="AA63" s="14"/>
      <c r="AB63" s="14"/>
      <c r="AC63" s="14"/>
      <c r="AD63" s="14"/>
      <c r="AE63" s="86"/>
      <c r="AF63" s="14"/>
      <c r="AG63" s="14"/>
    </row>
    <row r="64" spans="24:33" x14ac:dyDescent="0.3">
      <c r="X64" s="14"/>
      <c r="Y64" s="14"/>
      <c r="Z64" s="14"/>
      <c r="AA64" s="14"/>
      <c r="AB64" s="14"/>
      <c r="AC64" s="14"/>
      <c r="AD64" s="14"/>
      <c r="AE64" s="86"/>
      <c r="AF64" s="14"/>
      <c r="AG64" s="14"/>
    </row>
    <row r="65" spans="24:33" x14ac:dyDescent="0.3">
      <c r="X65" s="14"/>
      <c r="Y65" s="14"/>
      <c r="Z65" s="14"/>
      <c r="AA65" s="14"/>
      <c r="AB65" s="14"/>
      <c r="AC65" s="14"/>
      <c r="AD65" s="14"/>
      <c r="AE65" s="86"/>
      <c r="AF65" s="14"/>
      <c r="AG65" s="14"/>
    </row>
    <row r="66" spans="24:33" x14ac:dyDescent="0.3">
      <c r="X66" s="14"/>
      <c r="Y66" s="14"/>
      <c r="Z66" s="14"/>
      <c r="AA66" s="14"/>
      <c r="AB66" s="14"/>
      <c r="AC66" s="14"/>
      <c r="AD66" s="14"/>
      <c r="AE66" s="86"/>
      <c r="AF66" s="14"/>
      <c r="AG66" s="14"/>
    </row>
    <row r="67" spans="24:33" x14ac:dyDescent="0.3">
      <c r="X67" s="14"/>
      <c r="Y67" s="14"/>
      <c r="Z67" s="14"/>
      <c r="AA67" s="14"/>
      <c r="AB67" s="14"/>
      <c r="AC67" s="14"/>
      <c r="AD67" s="14"/>
      <c r="AE67" s="86"/>
      <c r="AF67" s="14"/>
      <c r="AG67" s="14"/>
    </row>
    <row r="68" spans="24:33" x14ac:dyDescent="0.3">
      <c r="X68" s="14"/>
      <c r="Y68" s="14"/>
      <c r="Z68" s="14"/>
      <c r="AA68" s="14"/>
      <c r="AB68" s="14"/>
      <c r="AC68" s="14"/>
      <c r="AD68" s="14"/>
      <c r="AE68" s="86"/>
      <c r="AF68" s="14"/>
      <c r="AG68" s="14"/>
    </row>
    <row r="69" spans="24:33" x14ac:dyDescent="0.3">
      <c r="X69" s="14"/>
      <c r="Y69" s="14"/>
      <c r="Z69" s="14"/>
      <c r="AA69" s="14"/>
      <c r="AB69" s="14"/>
      <c r="AC69" s="14"/>
      <c r="AD69" s="14"/>
      <c r="AE69" s="86"/>
      <c r="AF69" s="14"/>
      <c r="AG69" s="14"/>
    </row>
    <row r="70" spans="24:33" x14ac:dyDescent="0.3">
      <c r="X70" s="14"/>
      <c r="Y70" s="14"/>
      <c r="Z70" s="14"/>
      <c r="AA70" s="14"/>
      <c r="AB70" s="14"/>
      <c r="AC70" s="14"/>
      <c r="AD70" s="14"/>
      <c r="AE70" s="86"/>
      <c r="AF70" s="14"/>
      <c r="AG70" s="14"/>
    </row>
    <row r="71" spans="24:33" x14ac:dyDescent="0.3">
      <c r="X71" s="14"/>
      <c r="Y71" s="14"/>
      <c r="Z71" s="14"/>
      <c r="AA71" s="14"/>
      <c r="AB71" s="14"/>
      <c r="AC71" s="14"/>
      <c r="AD71" s="14"/>
      <c r="AE71" s="86"/>
      <c r="AF71" s="14"/>
      <c r="AG71" s="14"/>
    </row>
    <row r="72" spans="24:33" x14ac:dyDescent="0.3">
      <c r="X72" s="14"/>
      <c r="Y72" s="14"/>
      <c r="Z72" s="14"/>
      <c r="AA72" s="14"/>
      <c r="AB72" s="14"/>
      <c r="AC72" s="14"/>
      <c r="AD72" s="14"/>
      <c r="AE72" s="86"/>
      <c r="AF72" s="14"/>
      <c r="AG72" s="14"/>
    </row>
    <row r="73" spans="24:33" x14ac:dyDescent="0.3">
      <c r="X73" s="14"/>
      <c r="Y73" s="14"/>
      <c r="Z73" s="14"/>
      <c r="AA73" s="14"/>
      <c r="AB73" s="14"/>
      <c r="AC73" s="14"/>
      <c r="AD73" s="14"/>
      <c r="AE73" s="86"/>
      <c r="AF73" s="14"/>
      <c r="AG73" s="14"/>
    </row>
    <row r="74" spans="24:33" x14ac:dyDescent="0.3">
      <c r="X74" s="14"/>
      <c r="Y74" s="14"/>
      <c r="Z74" s="14"/>
      <c r="AA74" s="14"/>
      <c r="AB74" s="14"/>
      <c r="AC74" s="14"/>
      <c r="AD74" s="14"/>
      <c r="AE74" s="86"/>
      <c r="AF74" s="14"/>
      <c r="AG74" s="14"/>
    </row>
    <row r="75" spans="24:33" x14ac:dyDescent="0.3">
      <c r="X75" s="14"/>
      <c r="Y75" s="14"/>
      <c r="Z75" s="14"/>
      <c r="AA75" s="14"/>
      <c r="AB75" s="14"/>
      <c r="AC75" s="14"/>
      <c r="AD75" s="14"/>
      <c r="AE75" s="86"/>
      <c r="AF75" s="14"/>
      <c r="AG75" s="14"/>
    </row>
    <row r="76" spans="24:33" x14ac:dyDescent="0.3">
      <c r="X76" s="14"/>
      <c r="Y76" s="14"/>
      <c r="Z76" s="14"/>
      <c r="AA76" s="14"/>
      <c r="AB76" s="14"/>
      <c r="AC76" s="14"/>
      <c r="AD76" s="14"/>
      <c r="AE76" s="86"/>
      <c r="AF76" s="14"/>
      <c r="AG76" s="14"/>
    </row>
    <row r="77" spans="24:33" x14ac:dyDescent="0.3">
      <c r="X77" s="14"/>
      <c r="Y77" s="14"/>
      <c r="Z77" s="14"/>
      <c r="AA77" s="14"/>
      <c r="AB77" s="14"/>
      <c r="AC77" s="14"/>
      <c r="AD77" s="14"/>
      <c r="AE77" s="86"/>
      <c r="AF77" s="14"/>
      <c r="AG77" s="14"/>
    </row>
    <row r="78" spans="24:33" x14ac:dyDescent="0.3">
      <c r="X78" s="14"/>
      <c r="Y78" s="14"/>
      <c r="Z78" s="14"/>
      <c r="AA78" s="14"/>
      <c r="AB78" s="14"/>
      <c r="AC78" s="14"/>
      <c r="AD78" s="14"/>
      <c r="AE78" s="86"/>
      <c r="AF78" s="14"/>
      <c r="AG78" s="14"/>
    </row>
    <row r="79" spans="24:33" x14ac:dyDescent="0.3">
      <c r="X79" s="14"/>
      <c r="Y79" s="14"/>
      <c r="Z79" s="14"/>
      <c r="AA79" s="14"/>
      <c r="AB79" s="14"/>
      <c r="AC79" s="14"/>
      <c r="AD79" s="14"/>
      <c r="AE79" s="86"/>
      <c r="AF79" s="14"/>
      <c r="AG79" s="14"/>
    </row>
    <row r="80" spans="24:33" x14ac:dyDescent="0.3">
      <c r="X80" s="14"/>
      <c r="Y80" s="14"/>
      <c r="Z80" s="14"/>
      <c r="AA80" s="14"/>
      <c r="AB80" s="14"/>
      <c r="AC80" s="14"/>
      <c r="AD80" s="14"/>
      <c r="AE80" s="86"/>
      <c r="AF80" s="14"/>
      <c r="AG80" s="14"/>
    </row>
    <row r="81" spans="24:33" x14ac:dyDescent="0.3">
      <c r="X81" s="14"/>
      <c r="Y81" s="14"/>
      <c r="Z81" s="14"/>
      <c r="AA81" s="14"/>
      <c r="AB81" s="14"/>
      <c r="AC81" s="14"/>
      <c r="AD81" s="14"/>
      <c r="AE81" s="86"/>
      <c r="AF81" s="14"/>
      <c r="AG81" s="14"/>
    </row>
    <row r="82" spans="24:33" x14ac:dyDescent="0.3">
      <c r="X82" s="14"/>
      <c r="Y82" s="14"/>
      <c r="Z82" s="14"/>
      <c r="AA82" s="14"/>
      <c r="AB82" s="14"/>
      <c r="AC82" s="14"/>
      <c r="AD82" s="14"/>
      <c r="AE82" s="86"/>
      <c r="AF82" s="14"/>
      <c r="AG82" s="14"/>
    </row>
    <row r="83" spans="24:33" x14ac:dyDescent="0.3">
      <c r="X83" s="14"/>
      <c r="Y83" s="14"/>
      <c r="Z83" s="14"/>
      <c r="AA83" s="14"/>
      <c r="AB83" s="14"/>
      <c r="AC83" s="14"/>
      <c r="AD83" s="14"/>
      <c r="AE83" s="86"/>
      <c r="AF83" s="14"/>
      <c r="AG83" s="14"/>
    </row>
    <row r="84" spans="24:33" x14ac:dyDescent="0.3">
      <c r="X84" s="14"/>
      <c r="Y84" s="14"/>
      <c r="Z84" s="14"/>
      <c r="AA84" s="14"/>
      <c r="AB84" s="14"/>
      <c r="AC84" s="14"/>
      <c r="AD84" s="14"/>
      <c r="AE84" s="86"/>
      <c r="AF84" s="14"/>
      <c r="AG84" s="14"/>
    </row>
    <row r="85" spans="24:33" x14ac:dyDescent="0.3">
      <c r="X85" s="14"/>
      <c r="Y85" s="14"/>
      <c r="Z85" s="14"/>
      <c r="AA85" s="14"/>
      <c r="AB85" s="14"/>
      <c r="AC85" s="14"/>
      <c r="AD85" s="14"/>
      <c r="AE85" s="86"/>
      <c r="AF85" s="14"/>
      <c r="AG85" s="14"/>
    </row>
    <row r="86" spans="24:33" x14ac:dyDescent="0.3">
      <c r="X86" s="14"/>
      <c r="Y86" s="14"/>
      <c r="Z86" s="14"/>
      <c r="AA86" s="14"/>
      <c r="AB86" s="14"/>
      <c r="AC86" s="14"/>
      <c r="AD86" s="14"/>
      <c r="AE86" s="86"/>
      <c r="AF86" s="14"/>
      <c r="AG86" s="14"/>
    </row>
    <row r="87" spans="24:33" x14ac:dyDescent="0.3">
      <c r="X87" s="14"/>
      <c r="Y87" s="14"/>
      <c r="Z87" s="14"/>
      <c r="AA87" s="14"/>
      <c r="AB87" s="14"/>
      <c r="AC87" s="14"/>
      <c r="AD87" s="14"/>
      <c r="AE87" s="86"/>
      <c r="AF87" s="14"/>
      <c r="AG87" s="14"/>
    </row>
    <row r="88" spans="24:33" x14ac:dyDescent="0.3">
      <c r="X88" s="14"/>
      <c r="Y88" s="14"/>
      <c r="Z88" s="14"/>
      <c r="AA88" s="14"/>
      <c r="AB88" s="14"/>
      <c r="AC88" s="14"/>
      <c r="AD88" s="14"/>
      <c r="AE88" s="86"/>
      <c r="AF88" s="14"/>
      <c r="AG88" s="14"/>
    </row>
    <row r="89" spans="24:33" x14ac:dyDescent="0.3">
      <c r="X89" s="14"/>
      <c r="Y89" s="14"/>
      <c r="Z89" s="14"/>
      <c r="AA89" s="14"/>
      <c r="AB89" s="14"/>
      <c r="AC89" s="14"/>
      <c r="AD89" s="14"/>
      <c r="AE89" s="86"/>
      <c r="AF89" s="14"/>
      <c r="AG89" s="14"/>
    </row>
    <row r="90" spans="24:33" x14ac:dyDescent="0.3">
      <c r="X90" s="14"/>
      <c r="Y90" s="14"/>
      <c r="Z90" s="14"/>
      <c r="AA90" s="14"/>
      <c r="AB90" s="14"/>
      <c r="AC90" s="14"/>
      <c r="AD90" s="14"/>
      <c r="AE90" s="86"/>
      <c r="AF90" s="14"/>
      <c r="AG90" s="14"/>
    </row>
    <row r="91" spans="24:33" x14ac:dyDescent="0.3">
      <c r="X91" s="14"/>
      <c r="Y91" s="14"/>
      <c r="Z91" s="14"/>
      <c r="AA91" s="14"/>
      <c r="AB91" s="14"/>
      <c r="AC91" s="14"/>
      <c r="AD91" s="14"/>
      <c r="AE91" s="86"/>
      <c r="AF91" s="14"/>
      <c r="AG91" s="14"/>
    </row>
    <row r="92" spans="24:33" x14ac:dyDescent="0.3">
      <c r="X92" s="14"/>
      <c r="Y92" s="14"/>
      <c r="Z92" s="14"/>
      <c r="AA92" s="14"/>
      <c r="AB92" s="14"/>
      <c r="AC92" s="14"/>
      <c r="AD92" s="14"/>
      <c r="AE92" s="86"/>
      <c r="AF92" s="14"/>
      <c r="AG92" s="14"/>
    </row>
    <row r="93" spans="24:33" x14ac:dyDescent="0.3">
      <c r="X93" s="14"/>
      <c r="Y93" s="14"/>
      <c r="Z93" s="14"/>
      <c r="AA93" s="14"/>
      <c r="AB93" s="14"/>
      <c r="AC93" s="14"/>
      <c r="AD93" s="14"/>
      <c r="AE93" s="86"/>
      <c r="AF93" s="14"/>
      <c r="AG93" s="14"/>
    </row>
    <row r="94" spans="24:33" x14ac:dyDescent="0.3">
      <c r="X94" s="14"/>
      <c r="Y94" s="14"/>
      <c r="Z94" s="14"/>
      <c r="AA94" s="14"/>
      <c r="AB94" s="14"/>
      <c r="AC94" s="14"/>
      <c r="AD94" s="14"/>
      <c r="AE94" s="86"/>
      <c r="AF94" s="14"/>
      <c r="AG94" s="14"/>
    </row>
    <row r="95" spans="24:33" x14ac:dyDescent="0.3">
      <c r="X95" s="14"/>
      <c r="Y95" s="14"/>
      <c r="Z95" s="14"/>
      <c r="AA95" s="14"/>
      <c r="AB95" s="14"/>
      <c r="AC95" s="14"/>
      <c r="AD95" s="14"/>
      <c r="AE95" s="86"/>
      <c r="AF95" s="14"/>
      <c r="AG95" s="14"/>
    </row>
    <row r="96" spans="24:33" x14ac:dyDescent="0.3">
      <c r="X96" s="14"/>
      <c r="Y96" s="14"/>
      <c r="Z96" s="14"/>
      <c r="AA96" s="14"/>
      <c r="AB96" s="14"/>
      <c r="AC96" s="14"/>
      <c r="AD96" s="14"/>
      <c r="AE96" s="86"/>
      <c r="AF96" s="14"/>
      <c r="AG96" s="14"/>
    </row>
    <row r="97" spans="24:33" x14ac:dyDescent="0.3">
      <c r="X97" s="14"/>
      <c r="Y97" s="14"/>
      <c r="Z97" s="14"/>
      <c r="AA97" s="14"/>
      <c r="AB97" s="14"/>
      <c r="AC97" s="14"/>
      <c r="AD97" s="14"/>
      <c r="AE97" s="86"/>
      <c r="AF97" s="14"/>
      <c r="AG97" s="14"/>
    </row>
    <row r="98" spans="24:33" x14ac:dyDescent="0.3">
      <c r="X98" s="14"/>
      <c r="Y98" s="14"/>
      <c r="Z98" s="14"/>
      <c r="AA98" s="14"/>
      <c r="AB98" s="14"/>
      <c r="AC98" s="14"/>
      <c r="AD98" s="14"/>
      <c r="AE98" s="86"/>
      <c r="AF98" s="14"/>
      <c r="AG98" s="14"/>
    </row>
    <row r="99" spans="24:33" x14ac:dyDescent="0.3">
      <c r="X99" s="14"/>
      <c r="Y99" s="14"/>
      <c r="Z99" s="14"/>
      <c r="AA99" s="14"/>
      <c r="AB99" s="14"/>
      <c r="AC99" s="14"/>
      <c r="AD99" s="14"/>
      <c r="AE99" s="86"/>
      <c r="AF99" s="14"/>
      <c r="AG99" s="14"/>
    </row>
    <row r="100" spans="24:33" x14ac:dyDescent="0.3">
      <c r="X100" s="14"/>
      <c r="Y100" s="14"/>
      <c r="Z100" s="14"/>
      <c r="AA100" s="14"/>
      <c r="AB100" s="14"/>
      <c r="AC100" s="14"/>
      <c r="AD100" s="14"/>
      <c r="AE100" s="86"/>
      <c r="AF100" s="14"/>
      <c r="AG100" s="14"/>
    </row>
    <row r="101" spans="24:33" x14ac:dyDescent="0.3">
      <c r="X101" s="14"/>
      <c r="Y101" s="14"/>
      <c r="Z101" s="14"/>
      <c r="AA101" s="14"/>
      <c r="AB101" s="14"/>
      <c r="AC101" s="14"/>
      <c r="AD101" s="14"/>
      <c r="AE101" s="86"/>
      <c r="AF101" s="14"/>
      <c r="AG101" s="14"/>
    </row>
    <row r="102" spans="24:33" x14ac:dyDescent="0.3">
      <c r="X102" s="14"/>
      <c r="Y102" s="14"/>
      <c r="Z102" s="14"/>
      <c r="AA102" s="14"/>
      <c r="AB102" s="14"/>
      <c r="AC102" s="14"/>
      <c r="AD102" s="14"/>
      <c r="AE102" s="86"/>
      <c r="AF102" s="14"/>
      <c r="AG102" s="14"/>
    </row>
    <row r="103" spans="24:33" x14ac:dyDescent="0.3">
      <c r="X103" s="14"/>
      <c r="Y103" s="14"/>
      <c r="Z103" s="14"/>
      <c r="AA103" s="14"/>
      <c r="AB103" s="14"/>
      <c r="AC103" s="14"/>
      <c r="AD103" s="14"/>
      <c r="AE103" s="86"/>
      <c r="AF103" s="14"/>
      <c r="AG103" s="14"/>
    </row>
    <row r="104" spans="24:33" x14ac:dyDescent="0.3">
      <c r="X104" s="14"/>
      <c r="Y104" s="14"/>
      <c r="Z104" s="14"/>
      <c r="AA104" s="14"/>
      <c r="AB104" s="14"/>
      <c r="AC104" s="14"/>
      <c r="AD104" s="14"/>
      <c r="AE104" s="86"/>
      <c r="AF104" s="14"/>
      <c r="AG104" s="14"/>
    </row>
    <row r="105" spans="24:33" x14ac:dyDescent="0.3">
      <c r="X105" s="14"/>
      <c r="Y105" s="14"/>
      <c r="Z105" s="14"/>
      <c r="AA105" s="14"/>
      <c r="AB105" s="14"/>
      <c r="AC105" s="14"/>
      <c r="AD105" s="14"/>
      <c r="AE105" s="86"/>
      <c r="AF105" s="14"/>
      <c r="AG105" s="14"/>
    </row>
    <row r="106" spans="24:33" x14ac:dyDescent="0.3">
      <c r="X106" s="14"/>
      <c r="Y106" s="14"/>
      <c r="Z106" s="14"/>
      <c r="AA106" s="14"/>
      <c r="AB106" s="14"/>
      <c r="AC106" s="14"/>
      <c r="AD106" s="14"/>
      <c r="AE106" s="86"/>
      <c r="AF106" s="14"/>
      <c r="AG106" s="14"/>
    </row>
    <row r="107" spans="24:33" x14ac:dyDescent="0.3">
      <c r="X107" s="14"/>
      <c r="Y107" s="14"/>
      <c r="Z107" s="14"/>
      <c r="AA107" s="14"/>
      <c r="AB107" s="14"/>
      <c r="AC107" s="14"/>
      <c r="AD107" s="14"/>
      <c r="AE107" s="86"/>
      <c r="AF107" s="14"/>
      <c r="AG107" s="14"/>
    </row>
    <row r="108" spans="24:33" x14ac:dyDescent="0.3">
      <c r="X108" s="14"/>
      <c r="Y108" s="14"/>
      <c r="Z108" s="14"/>
      <c r="AA108" s="14"/>
      <c r="AB108" s="14"/>
      <c r="AC108" s="14"/>
      <c r="AD108" s="14"/>
      <c r="AE108" s="86"/>
      <c r="AF108" s="14"/>
      <c r="AG108" s="14"/>
    </row>
    <row r="109" spans="24:33" x14ac:dyDescent="0.3">
      <c r="X109" s="14"/>
      <c r="Y109" s="14"/>
      <c r="Z109" s="14"/>
      <c r="AA109" s="14"/>
      <c r="AB109" s="14"/>
      <c r="AC109" s="14"/>
      <c r="AD109" s="14"/>
      <c r="AE109" s="86"/>
      <c r="AF109" s="14"/>
      <c r="AG109" s="14"/>
    </row>
    <row r="110" spans="24:33" x14ac:dyDescent="0.3">
      <c r="X110" s="14"/>
      <c r="Y110" s="14"/>
      <c r="Z110" s="14"/>
      <c r="AA110" s="14"/>
      <c r="AB110" s="14"/>
      <c r="AC110" s="14"/>
      <c r="AD110" s="14"/>
      <c r="AE110" s="86"/>
      <c r="AF110" s="14"/>
      <c r="AG110" s="14"/>
    </row>
    <row r="111" spans="24:33" x14ac:dyDescent="0.3">
      <c r="X111" s="14"/>
      <c r="Y111" s="14"/>
      <c r="Z111" s="14"/>
      <c r="AA111" s="14"/>
      <c r="AB111" s="14"/>
      <c r="AC111" s="14"/>
      <c r="AD111" s="14"/>
      <c r="AE111" s="86"/>
      <c r="AF111" s="14"/>
      <c r="AG111" s="14"/>
    </row>
    <row r="112" spans="24:33" x14ac:dyDescent="0.3">
      <c r="X112" s="14"/>
      <c r="Y112" s="14"/>
      <c r="Z112" s="14"/>
      <c r="AA112" s="14"/>
      <c r="AB112" s="14"/>
      <c r="AC112" s="14"/>
      <c r="AD112" s="14"/>
      <c r="AE112" s="86"/>
      <c r="AF112" s="14"/>
      <c r="AG112" s="14"/>
    </row>
    <row r="113" spans="24:33" x14ac:dyDescent="0.3">
      <c r="X113" s="14"/>
      <c r="Y113" s="14"/>
      <c r="Z113" s="14"/>
      <c r="AA113" s="14"/>
      <c r="AB113" s="14"/>
      <c r="AC113" s="14"/>
      <c r="AD113" s="14"/>
      <c r="AE113" s="86"/>
      <c r="AF113" s="14"/>
      <c r="AG113" s="14"/>
    </row>
    <row r="114" spans="24:33" x14ac:dyDescent="0.3">
      <c r="X114" s="14"/>
      <c r="Y114" s="14"/>
      <c r="Z114" s="14"/>
      <c r="AA114" s="14"/>
      <c r="AB114" s="14"/>
      <c r="AC114" s="14"/>
      <c r="AD114" s="14"/>
      <c r="AE114" s="86"/>
      <c r="AF114" s="14"/>
      <c r="AG114" s="14"/>
    </row>
    <row r="115" spans="24:33" x14ac:dyDescent="0.3">
      <c r="X115" s="14"/>
      <c r="Y115" s="14"/>
      <c r="Z115" s="14"/>
      <c r="AA115" s="14"/>
      <c r="AB115" s="14"/>
      <c r="AC115" s="14"/>
      <c r="AD115" s="14"/>
      <c r="AE115" s="86"/>
      <c r="AF115" s="14"/>
      <c r="AG115" s="14"/>
    </row>
    <row r="116" spans="24:33" x14ac:dyDescent="0.3">
      <c r="X116" s="14"/>
      <c r="Y116" s="14"/>
      <c r="Z116" s="14"/>
      <c r="AA116" s="14"/>
      <c r="AB116" s="14"/>
      <c r="AC116" s="14"/>
      <c r="AD116" s="14"/>
      <c r="AE116" s="86"/>
      <c r="AF116" s="14"/>
      <c r="AG116" s="14"/>
    </row>
    <row r="117" spans="24:33" x14ac:dyDescent="0.3">
      <c r="X117" s="14"/>
      <c r="Y117" s="14"/>
      <c r="Z117" s="14"/>
      <c r="AA117" s="14"/>
      <c r="AB117" s="14"/>
      <c r="AC117" s="14"/>
      <c r="AD117" s="14"/>
      <c r="AE117" s="86"/>
      <c r="AF117" s="14"/>
      <c r="AG117" s="14"/>
    </row>
    <row r="118" spans="24:33" x14ac:dyDescent="0.3">
      <c r="X118" s="14"/>
      <c r="Y118" s="14"/>
      <c r="Z118" s="14"/>
      <c r="AA118" s="14"/>
      <c r="AB118" s="14"/>
      <c r="AC118" s="14"/>
      <c r="AD118" s="14"/>
      <c r="AE118" s="86"/>
      <c r="AF118" s="14"/>
      <c r="AG118" s="14"/>
    </row>
    <row r="119" spans="24:33" x14ac:dyDescent="0.3">
      <c r="X119" s="14"/>
      <c r="Y119" s="14"/>
      <c r="Z119" s="14"/>
      <c r="AA119" s="14"/>
      <c r="AB119" s="14"/>
      <c r="AC119" s="14"/>
      <c r="AD119" s="14"/>
      <c r="AE119" s="86"/>
      <c r="AF119" s="14"/>
      <c r="AG119" s="14"/>
    </row>
  </sheetData>
  <mergeCells count="1">
    <mergeCell ref="X10:Y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49"/>
  <sheetViews>
    <sheetView zoomScale="80" zoomScaleNormal="80" workbookViewId="0">
      <selection activeCell="L24" sqref="L24"/>
    </sheetView>
  </sheetViews>
  <sheetFormatPr defaultColWidth="8.90625" defaultRowHeight="14.4" x14ac:dyDescent="0.3"/>
  <cols>
    <col min="1" max="1" width="13.6328125" style="14" customWidth="1"/>
    <col min="2" max="2" width="15.54296875" style="14" customWidth="1"/>
    <col min="3" max="16" width="8.90625" style="14"/>
    <col min="17" max="17" width="11.54296875" style="14" customWidth="1"/>
    <col min="18" max="18" width="8.90625" style="14"/>
    <col min="19" max="19" width="11.1796875" style="16" customWidth="1"/>
    <col min="20" max="20" width="8.90625" style="14"/>
    <col min="21" max="21" width="13.81640625" style="14" customWidth="1"/>
    <col min="22" max="27" width="8.90625" style="14"/>
    <col min="28" max="28" width="8.90625" style="14" customWidth="1"/>
    <col min="29" max="16384" width="8.90625" style="14"/>
  </cols>
  <sheetData>
    <row r="1" spans="1:33" ht="15.6" thickTop="1" thickBot="1" x14ac:dyDescent="0.35">
      <c r="A1" s="178" t="s">
        <v>32</v>
      </c>
      <c r="B1" s="20">
        <v>41480</v>
      </c>
      <c r="C1" s="21"/>
      <c r="D1" s="21"/>
      <c r="E1" s="22"/>
      <c r="F1" s="22"/>
      <c r="G1" s="23"/>
      <c r="H1" s="23"/>
      <c r="I1" s="23"/>
      <c r="J1" s="23"/>
      <c r="K1" s="23"/>
      <c r="L1" s="22"/>
      <c r="P1" s="24"/>
      <c r="Q1" s="25"/>
    </row>
    <row r="2" spans="1:33" ht="15" thickTop="1" x14ac:dyDescent="0.3">
      <c r="A2" s="179"/>
      <c r="B2" s="22"/>
      <c r="C2" s="22"/>
      <c r="D2" s="22"/>
      <c r="E2" s="22"/>
      <c r="F2" s="22"/>
      <c r="G2" s="23"/>
      <c r="H2" s="23"/>
      <c r="I2" s="23"/>
      <c r="J2" s="23"/>
      <c r="K2" s="23"/>
      <c r="L2" s="22"/>
      <c r="P2" s="24"/>
      <c r="Q2" s="25"/>
    </row>
    <row r="3" spans="1:33" ht="15" thickBot="1" x14ac:dyDescent="0.35">
      <c r="A3" s="27" t="s">
        <v>33</v>
      </c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M3" s="30"/>
      <c r="N3" s="30"/>
      <c r="O3" s="30"/>
      <c r="P3" s="31"/>
      <c r="Q3" s="32"/>
      <c r="R3" s="30"/>
      <c r="T3" s="30"/>
      <c r="U3" s="30"/>
      <c r="V3" s="30"/>
      <c r="W3" s="30"/>
      <c r="X3" s="30"/>
    </row>
    <row r="4" spans="1:33" ht="15" thickTop="1" x14ac:dyDescent="0.3">
      <c r="A4" s="35" t="s">
        <v>34</v>
      </c>
      <c r="B4" s="36" t="s">
        <v>35</v>
      </c>
      <c r="C4" s="37" t="s">
        <v>4</v>
      </c>
      <c r="D4" s="37" t="s">
        <v>36</v>
      </c>
      <c r="E4" s="38" t="s">
        <v>37</v>
      </c>
      <c r="F4" s="39" t="s">
        <v>38</v>
      </c>
      <c r="G4" s="39" t="s">
        <v>39</v>
      </c>
      <c r="H4" s="40" t="s">
        <v>39</v>
      </c>
      <c r="I4" s="41" t="s">
        <v>40</v>
      </c>
      <c r="J4" s="42" t="s">
        <v>41</v>
      </c>
      <c r="K4" s="38"/>
      <c r="L4" s="43" t="s">
        <v>42</v>
      </c>
      <c r="M4" s="44"/>
      <c r="N4" s="45" t="s">
        <v>43</v>
      </c>
      <c r="O4" s="45" t="s">
        <v>43</v>
      </c>
      <c r="P4" s="46"/>
      <c r="Q4" s="47"/>
      <c r="S4" s="48"/>
      <c r="T4" s="180"/>
      <c r="U4" s="49"/>
      <c r="X4" s="202" t="s">
        <v>84</v>
      </c>
      <c r="Y4" s="202"/>
      <c r="Z4" s="34"/>
      <c r="AA4" s="34"/>
      <c r="AB4" s="34"/>
    </row>
    <row r="5" spans="1:33" x14ac:dyDescent="0.3">
      <c r="A5" s="51" t="s">
        <v>44</v>
      </c>
      <c r="B5" s="52"/>
      <c r="C5" s="53"/>
      <c r="D5" s="53"/>
      <c r="E5" s="54" t="s">
        <v>45</v>
      </c>
      <c r="F5" s="54" t="s">
        <v>45</v>
      </c>
      <c r="G5" s="54" t="s">
        <v>46</v>
      </c>
      <c r="H5" s="54" t="s">
        <v>47</v>
      </c>
      <c r="I5" s="54" t="s">
        <v>48</v>
      </c>
      <c r="J5" s="28"/>
      <c r="K5" s="54" t="s">
        <v>49</v>
      </c>
      <c r="L5" s="54" t="s">
        <v>50</v>
      </c>
      <c r="M5" s="55"/>
      <c r="N5" s="56" t="s">
        <v>51</v>
      </c>
      <c r="O5" s="56" t="s">
        <v>52</v>
      </c>
      <c r="P5" s="57" t="s">
        <v>53</v>
      </c>
      <c r="Q5" s="58" t="s">
        <v>54</v>
      </c>
      <c r="S5" s="59" t="s">
        <v>55</v>
      </c>
      <c r="T5" s="59" t="s">
        <v>56</v>
      </c>
      <c r="U5" s="59" t="s">
        <v>57</v>
      </c>
      <c r="X5" s="50" t="s">
        <v>85</v>
      </c>
      <c r="Y5" s="50" t="s">
        <v>86</v>
      </c>
      <c r="Z5" s="50" t="s">
        <v>87</v>
      </c>
      <c r="AA5" s="50" t="s">
        <v>88</v>
      </c>
      <c r="AB5" s="50" t="s">
        <v>89</v>
      </c>
    </row>
    <row r="6" spans="1:33" ht="15" thickBot="1" x14ac:dyDescent="0.35">
      <c r="A6" s="63"/>
      <c r="B6" s="64"/>
      <c r="C6" s="65"/>
      <c r="D6" s="65"/>
      <c r="E6" s="66" t="s">
        <v>58</v>
      </c>
      <c r="F6" s="66" t="s">
        <v>58</v>
      </c>
      <c r="G6" s="66" t="s">
        <v>58</v>
      </c>
      <c r="H6" s="66" t="s">
        <v>58</v>
      </c>
      <c r="I6" s="66"/>
      <c r="J6" s="67"/>
      <c r="K6" s="66" t="s">
        <v>59</v>
      </c>
      <c r="L6" s="68" t="s">
        <v>60</v>
      </c>
      <c r="M6" s="69" t="s">
        <v>61</v>
      </c>
      <c r="N6" s="70" t="s">
        <v>62</v>
      </c>
      <c r="O6" s="70" t="s">
        <v>63</v>
      </c>
      <c r="P6" s="71" t="s">
        <v>64</v>
      </c>
      <c r="Q6" s="72" t="s">
        <v>65</v>
      </c>
      <c r="S6" s="73" t="s">
        <v>66</v>
      </c>
      <c r="T6" s="73" t="s">
        <v>67</v>
      </c>
      <c r="U6" s="73" t="s">
        <v>68</v>
      </c>
      <c r="X6" s="173" t="s">
        <v>90</v>
      </c>
      <c r="Y6" s="81">
        <v>5</v>
      </c>
      <c r="Z6" s="81">
        <v>1.03</v>
      </c>
      <c r="AA6" s="81">
        <v>1.1100000000000001</v>
      </c>
      <c r="AB6" s="174">
        <v>1.062211380003373</v>
      </c>
    </row>
    <row r="7" spans="1:33" ht="15" thickTop="1" x14ac:dyDescent="0.3">
      <c r="A7" s="74">
        <v>1</v>
      </c>
      <c r="B7" s="74" t="s">
        <v>69</v>
      </c>
      <c r="C7" s="74"/>
      <c r="D7" s="74"/>
      <c r="E7" s="75">
        <v>15.954000000000001</v>
      </c>
      <c r="F7" s="76" t="s">
        <v>70</v>
      </c>
      <c r="G7" s="76">
        <v>21.818100000000001</v>
      </c>
      <c r="H7" s="77">
        <v>21.818200000000001</v>
      </c>
      <c r="I7" s="76">
        <v>0.15</v>
      </c>
      <c r="J7" s="78">
        <v>41481</v>
      </c>
      <c r="K7" s="76">
        <v>71</v>
      </c>
      <c r="L7" s="74">
        <f t="shared" ref="L7:L46" si="0">K7*(5/(5-(G7-H7)))</f>
        <v>70.998580028399431</v>
      </c>
      <c r="M7" s="74">
        <f>+(L7/'[4]Calibration curves '!$B$18)*'[4]Background info'!$C$3/1000</f>
        <v>2.3211122727093985E-4</v>
      </c>
      <c r="N7" s="74">
        <v>7.7370409090313291E-3</v>
      </c>
      <c r="O7" s="74"/>
      <c r="P7" s="79"/>
      <c r="Q7" s="80"/>
    </row>
    <row r="8" spans="1:33" x14ac:dyDescent="0.3">
      <c r="A8" s="74">
        <v>2</v>
      </c>
      <c r="B8" s="74" t="s">
        <v>69</v>
      </c>
      <c r="C8" s="74"/>
      <c r="D8" s="74"/>
      <c r="E8" s="81">
        <v>16.053899999999999</v>
      </c>
      <c r="F8" s="76" t="s">
        <v>70</v>
      </c>
      <c r="G8" s="82">
        <v>21.918500000000002</v>
      </c>
      <c r="H8" s="82">
        <v>21.918500000000002</v>
      </c>
      <c r="I8" s="76">
        <v>0.15</v>
      </c>
      <c r="J8" s="78">
        <v>41481</v>
      </c>
      <c r="K8" s="82">
        <v>177</v>
      </c>
      <c r="L8" s="74">
        <f t="shared" si="0"/>
        <v>177</v>
      </c>
      <c r="M8" s="74">
        <f>+(L8/'[4]Calibration curves '!$B$18)*'[4]Background info'!$C$3/1000</f>
        <v>5.7865505493944912E-4</v>
      </c>
      <c r="N8" s="74">
        <v>1.9288501831314971E-2</v>
      </c>
      <c r="O8" s="74"/>
      <c r="P8" s="79"/>
      <c r="Q8" s="80"/>
    </row>
    <row r="9" spans="1:33" x14ac:dyDescent="0.3">
      <c r="A9" s="74">
        <v>3</v>
      </c>
      <c r="B9" s="74" t="s">
        <v>71</v>
      </c>
      <c r="C9" s="74"/>
      <c r="D9" s="74"/>
      <c r="E9" s="75">
        <v>15.950100000000001</v>
      </c>
      <c r="F9" s="76" t="s">
        <v>70</v>
      </c>
      <c r="G9" s="82">
        <v>21.797499999999999</v>
      </c>
      <c r="H9" s="87">
        <v>21.797599999999999</v>
      </c>
      <c r="I9" s="76">
        <v>0.15</v>
      </c>
      <c r="J9" s="78">
        <v>41481</v>
      </c>
      <c r="K9" s="82">
        <v>19829</v>
      </c>
      <c r="L9" s="74">
        <f t="shared" si="0"/>
        <v>19828.603427931441</v>
      </c>
      <c r="M9" s="74">
        <f>+(L9/'[4]Calibration curves '!$B$18)*'[4]Background info'!$C$3/1000</f>
        <v>6.4824415852893891E-2</v>
      </c>
      <c r="N9" s="74">
        <v>2.1608138617631298</v>
      </c>
      <c r="O9" s="74">
        <v>2.1473010903929568</v>
      </c>
      <c r="P9" s="79"/>
      <c r="Q9" s="88">
        <v>107.36505451964784</v>
      </c>
      <c r="Y9" s="83" t="s">
        <v>91</v>
      </c>
      <c r="Z9" s="84"/>
      <c r="AA9" s="85">
        <v>41481</v>
      </c>
      <c r="AB9" s="84"/>
      <c r="AC9" s="84"/>
      <c r="AD9" s="84"/>
      <c r="AE9" s="84"/>
      <c r="AF9" s="86"/>
    </row>
    <row r="10" spans="1:33" x14ac:dyDescent="0.3">
      <c r="A10" s="74">
        <v>4</v>
      </c>
      <c r="B10" s="74" t="s">
        <v>71</v>
      </c>
      <c r="C10" s="74"/>
      <c r="D10" s="74"/>
      <c r="E10" s="75">
        <v>16.060500000000001</v>
      </c>
      <c r="F10" s="76" t="s">
        <v>70</v>
      </c>
      <c r="G10" s="87">
        <v>21.9236</v>
      </c>
      <c r="H10" s="87">
        <v>21.924299999999999</v>
      </c>
      <c r="I10" s="76">
        <v>0.15</v>
      </c>
      <c r="J10" s="78">
        <v>41481</v>
      </c>
      <c r="K10" s="82">
        <v>18951</v>
      </c>
      <c r="L10" s="74">
        <f t="shared" si="0"/>
        <v>18948.347231387612</v>
      </c>
      <c r="M10" s="74">
        <f>+(L10/'[4]Calibration curves '!$B$18)*'[4]Background info'!$C$3/1000</f>
        <v>6.1946649198815588E-2</v>
      </c>
      <c r="N10" s="74">
        <v>2.0648883066271861</v>
      </c>
      <c r="O10" s="74">
        <v>2.0513755352570131</v>
      </c>
      <c r="P10" s="79"/>
      <c r="Q10" s="88">
        <v>102.56877676285066</v>
      </c>
      <c r="Z10" s="89"/>
      <c r="AA10" s="89"/>
      <c r="AB10" s="89"/>
      <c r="AC10" s="90"/>
      <c r="AD10" s="91"/>
      <c r="AE10" s="91"/>
      <c r="AF10" s="92"/>
      <c r="AG10" s="93"/>
    </row>
    <row r="11" spans="1:33" x14ac:dyDescent="0.3">
      <c r="A11" s="74">
        <v>5</v>
      </c>
      <c r="B11" s="74" t="s">
        <v>72</v>
      </c>
      <c r="C11" s="74"/>
      <c r="D11" s="74"/>
      <c r="E11" s="81">
        <v>15.948600000000001</v>
      </c>
      <c r="F11" s="76">
        <v>2.63E-2</v>
      </c>
      <c r="G11" s="82">
        <v>21.8276</v>
      </c>
      <c r="H11" s="87">
        <v>21.8279</v>
      </c>
      <c r="I11" s="76">
        <v>0.15</v>
      </c>
      <c r="J11" s="78">
        <v>41481</v>
      </c>
      <c r="K11" s="82">
        <v>33845</v>
      </c>
      <c r="L11" s="74">
        <f t="shared" si="0"/>
        <v>33842.969421834699</v>
      </c>
      <c r="M11" s="74">
        <f>+(L11/'[4]Calibration curves '!$B$18)*'[4]Background info'!$C$3/1000</f>
        <v>0.1106407080796941</v>
      </c>
      <c r="N11" s="74">
        <v>3.6880236026564703</v>
      </c>
      <c r="O11" s="74">
        <v>3.6745108312862973</v>
      </c>
      <c r="P11" s="79">
        <v>139.71524073331929</v>
      </c>
      <c r="Q11" s="88"/>
      <c r="S11" s="16">
        <f>P11*1.063</f>
        <v>148.5173008995184</v>
      </c>
      <c r="T11" s="30">
        <f>AVERAGE(S11:S12)</f>
        <v>149.83670132357602</v>
      </c>
      <c r="U11" s="99" t="s">
        <v>73</v>
      </c>
      <c r="V11" s="100" t="s">
        <v>72</v>
      </c>
      <c r="Y11" s="94" t="s">
        <v>92</v>
      </c>
      <c r="Z11" s="95" t="s">
        <v>93</v>
      </c>
      <c r="AA11" s="95" t="s">
        <v>94</v>
      </c>
      <c r="AB11" s="96" t="s">
        <v>95</v>
      </c>
      <c r="AC11" s="90"/>
      <c r="AD11" s="97" t="s">
        <v>96</v>
      </c>
      <c r="AE11" s="98" t="s">
        <v>97</v>
      </c>
      <c r="AF11" s="98" t="s">
        <v>98</v>
      </c>
      <c r="AG11" s="96" t="s">
        <v>99</v>
      </c>
    </row>
    <row r="12" spans="1:33" x14ac:dyDescent="0.3">
      <c r="A12" s="74">
        <v>6</v>
      </c>
      <c r="B12" s="74" t="s">
        <v>72</v>
      </c>
      <c r="C12" s="74"/>
      <c r="D12" s="74"/>
      <c r="E12" s="81">
        <v>16.028500000000001</v>
      </c>
      <c r="F12" s="82">
        <v>2.6100000000000002E-2</v>
      </c>
      <c r="G12" s="82">
        <v>21.912500000000001</v>
      </c>
      <c r="H12" s="82">
        <v>21.911899999999999</v>
      </c>
      <c r="I12" s="76">
        <v>0.15</v>
      </c>
      <c r="J12" s="78">
        <v>41481</v>
      </c>
      <c r="K12" s="82">
        <v>34177</v>
      </c>
      <c r="L12" s="74">
        <f t="shared" si="0"/>
        <v>34181.101732207877</v>
      </c>
      <c r="M12" s="74">
        <f>+(L12/'[4]Calibration curves '!$B$18)*'[4]Background info'!$C$3/1000</f>
        <v>0.11174614294204324</v>
      </c>
      <c r="N12" s="74">
        <v>3.7248714314014415</v>
      </c>
      <c r="O12" s="74">
        <v>3.7113586600312685</v>
      </c>
      <c r="P12" s="79">
        <v>142.19764980962714</v>
      </c>
      <c r="Q12" s="105"/>
      <c r="R12" s="30"/>
      <c r="S12" s="16">
        <f>P12*1.063</f>
        <v>151.15610174763364</v>
      </c>
      <c r="T12" s="30"/>
      <c r="U12" s="30"/>
      <c r="V12" s="30"/>
      <c r="W12" s="30"/>
      <c r="X12" s="30"/>
      <c r="Y12" s="101"/>
      <c r="Z12" s="102" t="s">
        <v>100</v>
      </c>
      <c r="AA12" s="102" t="s">
        <v>100</v>
      </c>
      <c r="AB12" s="102"/>
      <c r="AC12" s="90"/>
      <c r="AD12" s="103"/>
      <c r="AE12" s="104"/>
      <c r="AF12" s="104" t="s">
        <v>100</v>
      </c>
      <c r="AG12" s="102" t="s">
        <v>101</v>
      </c>
    </row>
    <row r="13" spans="1:33" x14ac:dyDescent="0.3">
      <c r="A13" s="74">
        <v>7</v>
      </c>
      <c r="B13" s="74" t="s">
        <v>170</v>
      </c>
      <c r="C13" s="74" t="s">
        <v>27</v>
      </c>
      <c r="D13" s="112">
        <v>41081</v>
      </c>
      <c r="E13" s="75">
        <v>16.015000000000001</v>
      </c>
      <c r="F13" s="87">
        <v>3.3500000000000002E-2</v>
      </c>
      <c r="G13" s="82">
        <v>21.906099999999999</v>
      </c>
      <c r="H13" s="87">
        <v>21.904399999999999</v>
      </c>
      <c r="I13" s="76">
        <v>0.15</v>
      </c>
      <c r="J13" s="78">
        <v>41481</v>
      </c>
      <c r="K13" s="82">
        <v>16209</v>
      </c>
      <c r="L13" s="74">
        <f t="shared" si="0"/>
        <v>16214.512934397693</v>
      </c>
      <c r="M13" s="74">
        <f>+(L13/'[4]Calibration curves '!$B$18)*'[4]Background info'!$C$3/1000</f>
        <v>5.3009095326950889E-2</v>
      </c>
      <c r="N13" s="74">
        <v>1.7669698442316961</v>
      </c>
      <c r="O13" s="74">
        <v>1.7534570728615229</v>
      </c>
      <c r="P13" s="79">
        <v>52.34200217497083</v>
      </c>
      <c r="Q13" s="80"/>
      <c r="U13" s="113"/>
      <c r="Y13" s="106" t="s">
        <v>102</v>
      </c>
      <c r="Z13" s="107">
        <v>58</v>
      </c>
      <c r="AA13" s="90">
        <v>43</v>
      </c>
      <c r="AB13" s="108">
        <v>47</v>
      </c>
      <c r="AC13" s="90"/>
      <c r="AD13" s="109" t="s">
        <v>103</v>
      </c>
      <c r="AE13" s="107">
        <v>5</v>
      </c>
      <c r="AF13" s="110">
        <v>1618</v>
      </c>
      <c r="AG13" s="111"/>
    </row>
    <row r="14" spans="1:33" x14ac:dyDescent="0.3">
      <c r="A14" s="74">
        <v>8</v>
      </c>
      <c r="B14" s="74" t="s">
        <v>171</v>
      </c>
      <c r="C14" s="74" t="s">
        <v>27</v>
      </c>
      <c r="D14" s="112">
        <v>41081</v>
      </c>
      <c r="E14" s="81">
        <v>15.9922</v>
      </c>
      <c r="F14" s="87">
        <v>3.0599999999999999E-2</v>
      </c>
      <c r="G14" s="82">
        <v>21.878699999999998</v>
      </c>
      <c r="H14" s="87">
        <v>21.876999999999999</v>
      </c>
      <c r="I14" s="76">
        <v>0.15</v>
      </c>
      <c r="J14" s="78">
        <v>41481</v>
      </c>
      <c r="K14" s="82">
        <v>12771</v>
      </c>
      <c r="L14" s="74">
        <f t="shared" si="0"/>
        <v>12775.343616829721</v>
      </c>
      <c r="M14" s="74">
        <f>+(L14/'[4]Calibration curves '!$B$18)*'[4]Background info'!$C$3/1000</f>
        <v>4.1765633686253918E-2</v>
      </c>
      <c r="N14" s="74">
        <v>1.3921877895417973</v>
      </c>
      <c r="O14" s="74">
        <v>1.3786750181716241</v>
      </c>
      <c r="P14" s="79">
        <v>45.05473915593543</v>
      </c>
      <c r="Q14" s="80"/>
      <c r="Y14" s="106" t="s">
        <v>102</v>
      </c>
      <c r="Z14" s="90">
        <v>58</v>
      </c>
      <c r="AA14" s="90">
        <v>43</v>
      </c>
      <c r="AB14" s="108">
        <v>47</v>
      </c>
      <c r="AC14" s="90"/>
      <c r="AD14" s="114" t="s">
        <v>103</v>
      </c>
      <c r="AE14" s="90">
        <v>5</v>
      </c>
      <c r="AF14" s="115">
        <v>1604</v>
      </c>
      <c r="AG14" s="108"/>
    </row>
    <row r="15" spans="1:33" x14ac:dyDescent="0.3">
      <c r="A15" s="74">
        <v>9</v>
      </c>
      <c r="B15" s="74" t="s">
        <v>172</v>
      </c>
      <c r="C15" s="74" t="s">
        <v>27</v>
      </c>
      <c r="D15" s="112">
        <v>41081</v>
      </c>
      <c r="E15" s="81">
        <v>15.9863</v>
      </c>
      <c r="F15" s="82">
        <v>3.15E-2</v>
      </c>
      <c r="G15" s="82">
        <v>21.8672</v>
      </c>
      <c r="H15" s="87">
        <v>21.8674</v>
      </c>
      <c r="I15" s="76">
        <v>0.15</v>
      </c>
      <c r="J15" s="78">
        <v>41481</v>
      </c>
      <c r="K15" s="82">
        <v>13928</v>
      </c>
      <c r="L15" s="74">
        <f t="shared" si="0"/>
        <v>13927.44290228391</v>
      </c>
      <c r="M15" s="74">
        <f>+(L15/'[4]Calibration curves '!$B$18)*'[4]Background info'!$C$3/1000</f>
        <v>4.5532119987497954E-2</v>
      </c>
      <c r="N15" s="74">
        <v>1.5177373329165986</v>
      </c>
      <c r="O15" s="74">
        <v>1.5042245615464254</v>
      </c>
      <c r="P15" s="79">
        <v>47.753160684013501</v>
      </c>
      <c r="Q15" s="80"/>
      <c r="S15" s="118"/>
      <c r="T15" s="120"/>
      <c r="U15" s="119" t="s">
        <v>162</v>
      </c>
      <c r="V15" s="14" t="s">
        <v>194</v>
      </c>
      <c r="W15" s="120"/>
      <c r="Y15" s="116">
        <v>0</v>
      </c>
      <c r="Z15" s="90">
        <f>AVERAGE(Z13:Z14)</f>
        <v>58</v>
      </c>
      <c r="AA15" s="90">
        <f>AVERAGE(AA13:AA14)</f>
        <v>43</v>
      </c>
      <c r="AB15" s="117">
        <f>AVERAGE(AB13:AB14)</f>
        <v>47</v>
      </c>
      <c r="AC15" s="90"/>
      <c r="AD15" s="114" t="s">
        <v>103</v>
      </c>
      <c r="AE15" s="90">
        <v>5</v>
      </c>
      <c r="AF15" s="115">
        <v>1633</v>
      </c>
      <c r="AG15" s="108"/>
    </row>
    <row r="16" spans="1:33" x14ac:dyDescent="0.3">
      <c r="A16" s="74">
        <v>10</v>
      </c>
      <c r="B16" s="74" t="s">
        <v>172</v>
      </c>
      <c r="C16" s="74" t="s">
        <v>27</v>
      </c>
      <c r="D16" s="112">
        <v>41081</v>
      </c>
      <c r="E16" s="75">
        <v>16.0748</v>
      </c>
      <c r="F16" s="82">
        <v>3.44E-2</v>
      </c>
      <c r="G16" s="82">
        <v>21.958600000000001</v>
      </c>
      <c r="H16" s="82">
        <v>21.9573</v>
      </c>
      <c r="I16" s="76">
        <v>0.15</v>
      </c>
      <c r="J16" s="78">
        <v>41481</v>
      </c>
      <c r="K16" s="82">
        <v>11586</v>
      </c>
      <c r="L16" s="74">
        <f t="shared" si="0"/>
        <v>11589.013143417289</v>
      </c>
      <c r="M16" s="74">
        <f>+(L16/'[4]Calibration curves '!$B$18)*'[4]Background info'!$C$3/1000</f>
        <v>3.7887237498294521E-2</v>
      </c>
      <c r="N16" s="74">
        <v>1.2629079166098176</v>
      </c>
      <c r="O16" s="74">
        <v>1.2493951452396443</v>
      </c>
      <c r="P16" s="79">
        <v>36.319626315105943</v>
      </c>
      <c r="Q16" s="80"/>
      <c r="S16" s="118"/>
      <c r="T16" s="120"/>
      <c r="U16" s="119" t="s">
        <v>162</v>
      </c>
      <c r="V16" s="120"/>
      <c r="W16" s="120"/>
      <c r="Y16" s="116">
        <v>0.5</v>
      </c>
      <c r="Z16" s="115">
        <v>163</v>
      </c>
      <c r="AA16" s="90">
        <v>178</v>
      </c>
      <c r="AB16" s="108">
        <v>187</v>
      </c>
      <c r="AC16" s="90"/>
      <c r="AD16" s="114" t="s">
        <v>103</v>
      </c>
      <c r="AE16" s="90">
        <v>5</v>
      </c>
      <c r="AF16" s="181">
        <v>1647</v>
      </c>
      <c r="AG16" s="108">
        <v>1763</v>
      </c>
    </row>
    <row r="17" spans="1:34" x14ac:dyDescent="0.3">
      <c r="A17" s="74">
        <v>11</v>
      </c>
      <c r="B17" s="74" t="s">
        <v>173</v>
      </c>
      <c r="C17" s="74" t="s">
        <v>27</v>
      </c>
      <c r="D17" s="112">
        <v>41081</v>
      </c>
      <c r="E17" s="75">
        <v>16.172499999999999</v>
      </c>
      <c r="F17" s="87">
        <v>3.0800000000000001E-2</v>
      </c>
      <c r="G17" s="82">
        <v>22.050899999999999</v>
      </c>
      <c r="H17" s="82">
        <v>22.0505</v>
      </c>
      <c r="I17" s="76">
        <v>0.15</v>
      </c>
      <c r="J17" s="78">
        <v>41481</v>
      </c>
      <c r="K17" s="121">
        <v>15349</v>
      </c>
      <c r="L17" s="74">
        <f t="shared" si="0"/>
        <v>15350.228018241454</v>
      </c>
      <c r="M17" s="74">
        <f>+(L17/'[4]Calibration curves '!$B$18)*'[4]Background info'!$C$3/1000</f>
        <v>5.018354258321233E-2</v>
      </c>
      <c r="N17" s="74">
        <v>1.6727847527737443</v>
      </c>
      <c r="O17" s="74">
        <v>1.659271981403571</v>
      </c>
      <c r="P17" s="79">
        <v>53.872466928687366</v>
      </c>
      <c r="Q17" s="122"/>
      <c r="R17" s="86"/>
      <c r="S17" s="118"/>
      <c r="T17" s="22"/>
      <c r="U17" s="26"/>
      <c r="V17" s="22"/>
      <c r="W17" s="22"/>
      <c r="X17" s="86"/>
      <c r="Y17" s="116">
        <v>1</v>
      </c>
      <c r="Z17" s="115">
        <v>380</v>
      </c>
      <c r="AA17" s="90">
        <v>335</v>
      </c>
      <c r="AB17" s="108">
        <v>349</v>
      </c>
      <c r="AC17" s="90"/>
      <c r="AD17" s="114" t="s">
        <v>103</v>
      </c>
      <c r="AE17" s="90">
        <v>5</v>
      </c>
      <c r="AF17" s="115">
        <v>1707</v>
      </c>
      <c r="AG17" s="108">
        <v>1622</v>
      </c>
    </row>
    <row r="18" spans="1:34" x14ac:dyDescent="0.3">
      <c r="A18" s="74">
        <v>12</v>
      </c>
      <c r="B18" s="74" t="s">
        <v>174</v>
      </c>
      <c r="C18" s="74" t="s">
        <v>27</v>
      </c>
      <c r="D18" s="112">
        <v>41081</v>
      </c>
      <c r="E18" s="75">
        <v>15.9938</v>
      </c>
      <c r="F18" s="87">
        <v>3.3799999999999997E-2</v>
      </c>
      <c r="G18" s="77">
        <v>21.883600000000001</v>
      </c>
      <c r="H18" s="82">
        <v>21.883400000000002</v>
      </c>
      <c r="I18" s="76">
        <v>0.15</v>
      </c>
      <c r="J18" s="78">
        <v>41481</v>
      </c>
      <c r="K18" s="121">
        <v>17131</v>
      </c>
      <c r="L18" s="74">
        <f t="shared" si="0"/>
        <v>17131.685267410696</v>
      </c>
      <c r="M18" s="74">
        <f>+(L18/'[4]Calibration curves '!$B$18)*'[4]Background info'!$C$3/1000</f>
        <v>5.6007549602366605E-2</v>
      </c>
      <c r="N18" s="74">
        <v>1.8669183200788868</v>
      </c>
      <c r="O18" s="74">
        <v>1.8534055487087135</v>
      </c>
      <c r="P18" s="79">
        <v>54.834483689606913</v>
      </c>
      <c r="Q18" s="123"/>
      <c r="R18" s="86"/>
      <c r="S18" s="118"/>
      <c r="T18" s="22"/>
      <c r="U18" s="119"/>
      <c r="V18" s="22"/>
      <c r="W18" s="22"/>
      <c r="X18" s="86"/>
      <c r="Y18" s="116">
        <v>2</v>
      </c>
      <c r="Z18" s="115">
        <v>767</v>
      </c>
      <c r="AA18" s="90">
        <v>693</v>
      </c>
      <c r="AB18" s="108">
        <v>679</v>
      </c>
      <c r="AC18" s="90"/>
      <c r="AD18" s="114" t="s">
        <v>103</v>
      </c>
      <c r="AE18" s="90">
        <v>5</v>
      </c>
      <c r="AF18" s="115">
        <v>1689</v>
      </c>
      <c r="AG18" s="108">
        <v>1642</v>
      </c>
    </row>
    <row r="19" spans="1:34" x14ac:dyDescent="0.3">
      <c r="A19" s="74">
        <v>13</v>
      </c>
      <c r="B19" s="74" t="s">
        <v>175</v>
      </c>
      <c r="C19" s="74" t="s">
        <v>27</v>
      </c>
      <c r="D19" s="112">
        <v>41081</v>
      </c>
      <c r="E19" s="81">
        <v>15.955500000000001</v>
      </c>
      <c r="F19" s="82">
        <v>3.0599999999999999E-2</v>
      </c>
      <c r="G19" s="87">
        <v>21.838000000000001</v>
      </c>
      <c r="H19" s="77">
        <v>21.837</v>
      </c>
      <c r="I19" s="76">
        <v>0.15</v>
      </c>
      <c r="J19" s="78">
        <v>41481</v>
      </c>
      <c r="K19" s="121">
        <v>16212</v>
      </c>
      <c r="L19" s="74">
        <f t="shared" si="0"/>
        <v>16215.243048609726</v>
      </c>
      <c r="M19" s="74">
        <f>+(L19/'[4]Calibration curves '!$B$18)*'[4]Background info'!$C$3/1000</f>
        <v>5.3011482243784089E-2</v>
      </c>
      <c r="N19" s="74">
        <v>1.7670494081261365</v>
      </c>
      <c r="O19" s="74">
        <v>1.7535366367559633</v>
      </c>
      <c r="P19" s="79">
        <v>57.305118848234095</v>
      </c>
      <c r="Q19" s="80"/>
      <c r="S19" s="118"/>
      <c r="T19" s="120"/>
      <c r="U19" s="119"/>
      <c r="V19" s="120"/>
      <c r="W19" s="120"/>
      <c r="Y19" s="116">
        <v>5</v>
      </c>
      <c r="Z19" s="181">
        <v>1647</v>
      </c>
      <c r="AA19" s="90">
        <v>1565</v>
      </c>
      <c r="AB19" s="108">
        <v>3073</v>
      </c>
      <c r="AC19" s="90"/>
      <c r="AD19" s="114" t="s">
        <v>104</v>
      </c>
      <c r="AE19" s="90">
        <v>50</v>
      </c>
      <c r="AF19" s="115">
        <v>18500</v>
      </c>
      <c r="AG19" s="108"/>
    </row>
    <row r="20" spans="1:34" x14ac:dyDescent="0.3">
      <c r="A20" s="74">
        <v>14</v>
      </c>
      <c r="B20" s="74" t="s">
        <v>176</v>
      </c>
      <c r="C20" s="74" t="s">
        <v>27</v>
      </c>
      <c r="D20" s="112">
        <v>41081</v>
      </c>
      <c r="E20" s="75">
        <v>16.098400000000002</v>
      </c>
      <c r="F20" s="87">
        <v>3.1E-2</v>
      </c>
      <c r="G20" s="82">
        <v>21.9846</v>
      </c>
      <c r="H20" s="77">
        <v>21.984300000000001</v>
      </c>
      <c r="I20" s="76">
        <v>0.15</v>
      </c>
      <c r="J20" s="78">
        <v>41481</v>
      </c>
      <c r="K20" s="121">
        <v>16793</v>
      </c>
      <c r="L20" s="74">
        <f t="shared" si="0"/>
        <v>16794.007640458425</v>
      </c>
      <c r="M20" s="74">
        <f>+(L20/'[4]Calibration curves '!$B$18)*'[4]Background info'!$C$3/1000</f>
        <v>5.490360120815254E-2</v>
      </c>
      <c r="N20" s="74">
        <v>1.8301200402717515</v>
      </c>
      <c r="O20" s="74">
        <v>1.8166072689015782</v>
      </c>
      <c r="P20" s="79">
        <v>58.600234480696074</v>
      </c>
      <c r="Q20" s="80"/>
      <c r="S20" s="118"/>
      <c r="T20" s="120"/>
      <c r="U20" s="124"/>
      <c r="V20" s="120"/>
      <c r="W20" s="120"/>
      <c r="Y20" s="116">
        <v>10</v>
      </c>
      <c r="Z20" s="115">
        <v>3246</v>
      </c>
      <c r="AA20" s="90">
        <v>3317</v>
      </c>
      <c r="AB20" s="108"/>
      <c r="AC20" s="90"/>
      <c r="AD20" s="114" t="s">
        <v>104</v>
      </c>
      <c r="AE20" s="90">
        <v>50</v>
      </c>
      <c r="AF20" s="115">
        <v>14978</v>
      </c>
      <c r="AG20" s="108"/>
    </row>
    <row r="21" spans="1:34" x14ac:dyDescent="0.3">
      <c r="A21" s="74">
        <v>15</v>
      </c>
      <c r="B21" s="139" t="s">
        <v>177</v>
      </c>
      <c r="C21" s="74" t="s">
        <v>27</v>
      </c>
      <c r="D21" s="125">
        <v>41114</v>
      </c>
      <c r="E21" s="81">
        <v>16.056899999999999</v>
      </c>
      <c r="F21" s="87">
        <v>3.3000000000000002E-2</v>
      </c>
      <c r="G21" s="87">
        <v>21.9377</v>
      </c>
      <c r="H21" s="77">
        <v>21.9359</v>
      </c>
      <c r="I21" s="76">
        <v>0.15</v>
      </c>
      <c r="J21" s="78">
        <v>41481</v>
      </c>
      <c r="K21" s="121">
        <v>16358</v>
      </c>
      <c r="L21" s="74">
        <f t="shared" si="0"/>
        <v>16363.891000760272</v>
      </c>
      <c r="M21" s="74">
        <f>+(L21/'[4]Calibration curves '!$B$18)*'[4]Background info'!$C$3/1000</f>
        <v>5.3497447717898827E-2</v>
      </c>
      <c r="N21" s="74">
        <v>1.7832482572632944</v>
      </c>
      <c r="O21" s="74">
        <v>1.7697354858931211</v>
      </c>
      <c r="P21" s="79">
        <v>53.628348057367305</v>
      </c>
      <c r="Q21" s="80"/>
      <c r="S21" s="118"/>
      <c r="T21" s="120"/>
      <c r="U21" s="119"/>
      <c r="V21" s="120"/>
      <c r="W21" s="120"/>
      <c r="Y21" s="116">
        <v>50</v>
      </c>
      <c r="Z21" s="182">
        <v>15817</v>
      </c>
      <c r="AA21" s="90">
        <v>16450</v>
      </c>
      <c r="AB21" s="108">
        <v>15008</v>
      </c>
      <c r="AC21" s="90"/>
      <c r="AD21" s="114" t="s">
        <v>104</v>
      </c>
      <c r="AE21" s="90">
        <v>50</v>
      </c>
      <c r="AF21" s="115">
        <v>15766</v>
      </c>
      <c r="AG21" s="108"/>
    </row>
    <row r="22" spans="1:34" x14ac:dyDescent="0.3">
      <c r="A22" s="74">
        <v>16</v>
      </c>
      <c r="B22" s="139" t="s">
        <v>178</v>
      </c>
      <c r="C22" s="74" t="s">
        <v>27</v>
      </c>
      <c r="D22" s="125">
        <v>41114</v>
      </c>
      <c r="E22" s="130">
        <v>16.0428</v>
      </c>
      <c r="F22" s="82">
        <v>3.3399999999999999E-2</v>
      </c>
      <c r="G22" s="82">
        <v>21.918800000000001</v>
      </c>
      <c r="H22" s="77">
        <v>21.918299999999999</v>
      </c>
      <c r="I22" s="76">
        <v>0.15</v>
      </c>
      <c r="J22" s="78">
        <v>41481</v>
      </c>
      <c r="K22" s="121">
        <v>22713</v>
      </c>
      <c r="L22" s="74">
        <f t="shared" si="0"/>
        <v>22715.271527152727</v>
      </c>
      <c r="M22" s="74">
        <f>+(L22/'[4]Calibration curves '!$B$18)*'[4]Background info'!$C$3/1000</f>
        <v>7.4261619737339371E-2</v>
      </c>
      <c r="N22" s="74">
        <v>2.4753873245779792</v>
      </c>
      <c r="O22" s="74">
        <v>2.4618745532078061</v>
      </c>
      <c r="P22" s="79">
        <v>73.708818958317551</v>
      </c>
      <c r="Q22" s="80"/>
      <c r="S22" s="118"/>
      <c r="T22" s="120"/>
      <c r="U22" s="119"/>
      <c r="V22" s="120"/>
      <c r="W22" s="120"/>
      <c r="Y22" s="116">
        <v>200</v>
      </c>
      <c r="Z22" s="126"/>
      <c r="AA22" s="127"/>
      <c r="AB22" s="108">
        <v>77803</v>
      </c>
      <c r="AC22" s="90"/>
      <c r="AD22" s="114" t="s">
        <v>104</v>
      </c>
      <c r="AE22" s="127">
        <v>50</v>
      </c>
      <c r="AF22" s="128">
        <v>16732</v>
      </c>
      <c r="AG22" s="129"/>
    </row>
    <row r="23" spans="1:34" x14ac:dyDescent="0.3">
      <c r="A23" s="74">
        <v>17</v>
      </c>
      <c r="B23" s="139" t="s">
        <v>179</v>
      </c>
      <c r="C23" s="74" t="s">
        <v>27</v>
      </c>
      <c r="D23" s="125">
        <v>41114</v>
      </c>
      <c r="E23" s="75">
        <v>16.070699999999999</v>
      </c>
      <c r="F23" s="87">
        <v>3.2099999999999997E-2</v>
      </c>
      <c r="G23" s="87">
        <v>21.945399999999999</v>
      </c>
      <c r="H23" s="77">
        <v>21.946000000000002</v>
      </c>
      <c r="I23" s="76">
        <v>0.15</v>
      </c>
      <c r="J23" s="78">
        <v>41481</v>
      </c>
      <c r="K23" s="121">
        <v>16555</v>
      </c>
      <c r="L23" s="74">
        <f t="shared" si="0"/>
        <v>16553.013638363391</v>
      </c>
      <c r="M23" s="74">
        <f>+(L23/'[4]Calibration curves '!$B$18)*'[4]Background info'!$C$3/1000</f>
        <v>5.4115734555483727E-2</v>
      </c>
      <c r="N23" s="74">
        <v>1.8038578185161245</v>
      </c>
      <c r="O23" s="74">
        <v>1.7903450471459512</v>
      </c>
      <c r="P23" s="79">
        <v>55.773989007662038</v>
      </c>
      <c r="Q23" s="80"/>
      <c r="S23" s="118"/>
      <c r="T23" s="120"/>
      <c r="U23" s="124"/>
      <c r="V23" s="120"/>
      <c r="W23" s="120"/>
      <c r="Y23" s="131">
        <v>500</v>
      </c>
      <c r="Z23" s="132"/>
      <c r="AA23" s="132"/>
      <c r="AB23" s="133">
        <v>312462</v>
      </c>
      <c r="AC23" s="134"/>
      <c r="AD23" s="114" t="s">
        <v>104</v>
      </c>
      <c r="AE23" s="127">
        <v>50</v>
      </c>
      <c r="AF23" s="183">
        <v>15817</v>
      </c>
      <c r="AG23" s="129"/>
      <c r="AH23" s="184"/>
    </row>
    <row r="24" spans="1:34" x14ac:dyDescent="0.3">
      <c r="A24" s="74">
        <v>18</v>
      </c>
      <c r="B24" s="139" t="s">
        <v>180</v>
      </c>
      <c r="C24" s="74" t="s">
        <v>27</v>
      </c>
      <c r="D24" s="125">
        <v>41114</v>
      </c>
      <c r="E24" s="87">
        <v>15.992000000000001</v>
      </c>
      <c r="F24" s="82">
        <v>3.1699999999999999E-2</v>
      </c>
      <c r="G24" s="82">
        <v>21.8644</v>
      </c>
      <c r="H24" s="77">
        <v>21.8642</v>
      </c>
      <c r="I24" s="76">
        <v>0.15</v>
      </c>
      <c r="J24" s="78">
        <v>41481</v>
      </c>
      <c r="K24" s="121">
        <v>16277</v>
      </c>
      <c r="L24" s="74">
        <f t="shared" si="0"/>
        <v>16277.651106044241</v>
      </c>
      <c r="M24" s="74">
        <f>+(L24/'[4]Calibration curves '!$B$18)*'[4]Background info'!$C$3/1000</f>
        <v>5.321550901160009E-2</v>
      </c>
      <c r="N24" s="74">
        <v>1.7738503003866699</v>
      </c>
      <c r="O24" s="74">
        <v>1.7603375290164966</v>
      </c>
      <c r="P24" s="79">
        <v>55.531152334905258</v>
      </c>
      <c r="Q24" s="80"/>
      <c r="S24" s="118"/>
      <c r="T24" s="120"/>
      <c r="U24" s="140"/>
      <c r="V24" s="120"/>
      <c r="W24" s="120"/>
      <c r="Y24" s="16"/>
      <c r="Z24" s="16"/>
      <c r="AA24" s="16"/>
      <c r="AB24" s="16"/>
      <c r="AC24" s="16"/>
      <c r="AD24" s="135" t="s">
        <v>104</v>
      </c>
      <c r="AE24" s="136">
        <v>50</v>
      </c>
      <c r="AF24" s="137">
        <v>15126</v>
      </c>
      <c r="AG24" s="138"/>
      <c r="AH24" s="86"/>
    </row>
    <row r="25" spans="1:34" x14ac:dyDescent="0.3">
      <c r="A25" s="74">
        <v>19</v>
      </c>
      <c r="B25" s="139" t="s">
        <v>181</v>
      </c>
      <c r="C25" s="74" t="s">
        <v>27</v>
      </c>
      <c r="D25" s="125">
        <v>41114</v>
      </c>
      <c r="E25" s="87">
        <v>15.9476</v>
      </c>
      <c r="F25" s="82">
        <v>3.3599999999999998E-2</v>
      </c>
      <c r="G25" s="82">
        <v>21.8233</v>
      </c>
      <c r="H25" s="77">
        <v>21.8184</v>
      </c>
      <c r="I25" s="76">
        <v>0.15</v>
      </c>
      <c r="J25" s="78">
        <v>41481</v>
      </c>
      <c r="K25" s="121">
        <v>17503</v>
      </c>
      <c r="L25" s="74">
        <f t="shared" si="0"/>
        <v>17520.169766371044</v>
      </c>
      <c r="M25" s="74">
        <f>+(L25/'[4]Calibration curves '!$B$18)*'[4]Background info'!$C$3/1000</f>
        <v>5.7277597732813074E-2</v>
      </c>
      <c r="N25" s="74">
        <v>1.9092532577604358</v>
      </c>
      <c r="O25" s="74">
        <v>1.8957404863902625</v>
      </c>
      <c r="P25" s="79">
        <v>56.420847809234004</v>
      </c>
      <c r="Q25" s="80"/>
      <c r="S25" s="118"/>
      <c r="T25" s="120"/>
      <c r="U25" s="120"/>
      <c r="V25" s="120"/>
      <c r="W25" s="120"/>
      <c r="Y25" s="1" t="s">
        <v>105</v>
      </c>
      <c r="Z25" s="16"/>
      <c r="AA25" s="16"/>
      <c r="AB25" s="16"/>
      <c r="AC25" s="118"/>
      <c r="AD25" s="118"/>
      <c r="AE25" s="118"/>
      <c r="AF25" s="22"/>
      <c r="AG25" s="22"/>
      <c r="AH25" s="22"/>
    </row>
    <row r="26" spans="1:34" x14ac:dyDescent="0.3">
      <c r="A26" s="74">
        <v>20</v>
      </c>
      <c r="B26" s="139" t="s">
        <v>182</v>
      </c>
      <c r="C26" s="74" t="s">
        <v>27</v>
      </c>
      <c r="D26" s="125">
        <v>41114</v>
      </c>
      <c r="E26" s="87">
        <v>16.016999999999999</v>
      </c>
      <c r="F26" s="82">
        <v>3.3099999999999997E-2</v>
      </c>
      <c r="G26" s="82">
        <v>21.8888</v>
      </c>
      <c r="H26" s="77">
        <v>21.886299999999999</v>
      </c>
      <c r="I26" s="76">
        <v>0.15</v>
      </c>
      <c r="J26" s="78">
        <v>41481</v>
      </c>
      <c r="K26" s="121">
        <v>17833</v>
      </c>
      <c r="L26" s="74">
        <f t="shared" si="0"/>
        <v>17841.920960480245</v>
      </c>
      <c r="M26" s="74">
        <f>+(L26/'[4]Calibration curves '!$B$18)*'[4]Background info'!$C$3/1000</f>
        <v>5.8329478833966143E-2</v>
      </c>
      <c r="N26" s="74">
        <v>1.9443159611322047</v>
      </c>
      <c r="O26" s="74">
        <v>1.9308031897620315</v>
      </c>
      <c r="P26" s="79">
        <v>58.332422651420892</v>
      </c>
      <c r="Q26" s="80"/>
      <c r="S26" s="118"/>
      <c r="T26" s="120"/>
      <c r="U26" s="120"/>
      <c r="V26" s="120"/>
      <c r="W26" s="120"/>
      <c r="Y26" s="141" t="s">
        <v>106</v>
      </c>
      <c r="Z26" s="142">
        <v>315.05816538503586</v>
      </c>
      <c r="AA26" s="142">
        <v>328.75370822551838</v>
      </c>
      <c r="AB26" s="142">
        <v>606.13841280885435</v>
      </c>
      <c r="AC26" s="106"/>
      <c r="AD26" s="185" t="s">
        <v>107</v>
      </c>
      <c r="AE26" s="120"/>
      <c r="AF26" s="22"/>
      <c r="AG26" s="120"/>
      <c r="AH26" s="145"/>
    </row>
    <row r="27" spans="1:34" x14ac:dyDescent="0.3">
      <c r="A27" s="74">
        <v>21</v>
      </c>
      <c r="B27" s="139" t="s">
        <v>183</v>
      </c>
      <c r="C27" s="74" t="s">
        <v>27</v>
      </c>
      <c r="D27" s="125">
        <v>41114</v>
      </c>
      <c r="E27" s="82">
        <v>15.995799999999999</v>
      </c>
      <c r="F27" s="151">
        <v>3.2000000000000001E-2</v>
      </c>
      <c r="G27" s="146">
        <v>21.874199999999998</v>
      </c>
      <c r="H27" s="87">
        <v>21.871300000000002</v>
      </c>
      <c r="I27" s="76">
        <v>0.15</v>
      </c>
      <c r="J27" s="78">
        <v>41481</v>
      </c>
      <c r="K27" s="148">
        <v>15720</v>
      </c>
      <c r="L27" s="74">
        <f t="shared" si="0"/>
        <v>15729.122891276931</v>
      </c>
      <c r="M27" s="74">
        <f>+(L27/'[4]Calibration curves '!$B$18)*'[4]Background info'!$C$3/1000</f>
        <v>5.1422239948029386E-2</v>
      </c>
      <c r="N27" s="74">
        <v>1.714074664934313</v>
      </c>
      <c r="O27" s="74">
        <v>1.7005618935641398</v>
      </c>
      <c r="P27" s="79">
        <v>53.14255917387937</v>
      </c>
      <c r="Q27" s="80"/>
      <c r="S27" s="118"/>
      <c r="T27" s="120"/>
      <c r="U27" s="120"/>
      <c r="V27" s="120"/>
      <c r="W27" s="120"/>
      <c r="Y27" s="144" t="s">
        <v>108</v>
      </c>
      <c r="Z27" s="145">
        <v>58</v>
      </c>
      <c r="AA27" s="145">
        <v>43</v>
      </c>
      <c r="AB27" s="145">
        <v>47</v>
      </c>
      <c r="AC27" s="106"/>
      <c r="AD27" s="115" t="s">
        <v>198</v>
      </c>
      <c r="AE27" s="120"/>
      <c r="AF27" s="22"/>
      <c r="AG27" s="120"/>
      <c r="AH27" s="145"/>
    </row>
    <row r="28" spans="1:34" x14ac:dyDescent="0.3">
      <c r="A28" s="74">
        <v>22</v>
      </c>
      <c r="B28" s="139" t="s">
        <v>184</v>
      </c>
      <c r="C28" s="139" t="s">
        <v>8</v>
      </c>
      <c r="D28" s="125">
        <v>41150</v>
      </c>
      <c r="E28" s="82">
        <v>15.993499999999999</v>
      </c>
      <c r="F28" s="146">
        <v>3.0599999999999999E-2</v>
      </c>
      <c r="G28" s="146">
        <v>21.874300000000002</v>
      </c>
      <c r="H28" s="87">
        <v>21.873200000000001</v>
      </c>
      <c r="I28" s="76">
        <v>0.15</v>
      </c>
      <c r="J28" s="78">
        <v>41481</v>
      </c>
      <c r="K28" s="148">
        <v>2241</v>
      </c>
      <c r="L28" s="74">
        <f t="shared" si="0"/>
        <v>2241.4931284882678</v>
      </c>
      <c r="M28" s="74">
        <f>+(L28/'[4]Calibration curves '!$B$18)*'[4]Background info'!$C$3/1000</f>
        <v>7.3279736124959131E-3</v>
      </c>
      <c r="N28" s="74">
        <v>0.24426578708319713</v>
      </c>
      <c r="O28" s="74">
        <v>0.23075301571302398</v>
      </c>
      <c r="P28" s="79">
        <v>7.5409482259158169</v>
      </c>
      <c r="Q28" s="80"/>
      <c r="S28" s="118"/>
      <c r="T28" s="120"/>
      <c r="U28" s="119"/>
      <c r="V28" s="120"/>
      <c r="W28" s="120"/>
      <c r="Y28" s="149" t="s">
        <v>110</v>
      </c>
      <c r="Z28" s="150">
        <v>70.930810160720284</v>
      </c>
      <c r="AA28" s="150">
        <v>8.7672837931409049</v>
      </c>
      <c r="AB28" s="150">
        <v>-6268.4982644395059</v>
      </c>
      <c r="AC28" s="106"/>
      <c r="AD28" s="115" t="s">
        <v>199</v>
      </c>
      <c r="AE28" s="120"/>
      <c r="AF28" s="22"/>
      <c r="AG28" s="120"/>
      <c r="AH28" s="145"/>
    </row>
    <row r="29" spans="1:34" x14ac:dyDescent="0.3">
      <c r="A29" s="74">
        <v>23</v>
      </c>
      <c r="B29" s="139" t="s">
        <v>185</v>
      </c>
      <c r="C29" s="139" t="s">
        <v>8</v>
      </c>
      <c r="D29" s="125">
        <v>41150</v>
      </c>
      <c r="E29" s="82">
        <v>16.036100000000001</v>
      </c>
      <c r="F29" s="151">
        <v>3.3000000000000002E-2</v>
      </c>
      <c r="G29" s="146">
        <v>21.918299999999999</v>
      </c>
      <c r="H29" s="87">
        <v>21.918299999999999</v>
      </c>
      <c r="I29" s="76">
        <v>0.15</v>
      </c>
      <c r="J29" s="78">
        <v>41481</v>
      </c>
      <c r="K29" s="148">
        <v>2507</v>
      </c>
      <c r="L29" s="74">
        <f t="shared" si="0"/>
        <v>2507</v>
      </c>
      <c r="M29" s="74">
        <f>+(L29/'[4]Calibration curves '!$B$18)*'[4]Background info'!$C$3/1000</f>
        <v>8.1959786595095993E-3</v>
      </c>
      <c r="N29" s="74">
        <v>0.27319928865032</v>
      </c>
      <c r="O29" s="74">
        <v>0.25968651728014686</v>
      </c>
      <c r="P29" s="79">
        <v>7.8692884024286922</v>
      </c>
      <c r="Q29" s="80"/>
      <c r="S29" s="118"/>
      <c r="T29" s="120"/>
      <c r="U29" s="119"/>
      <c r="V29" s="120"/>
      <c r="W29" s="120"/>
      <c r="Y29" s="16"/>
      <c r="Z29" s="153"/>
      <c r="AA29" s="153"/>
      <c r="AC29" s="106"/>
      <c r="AD29" s="115" t="s">
        <v>115</v>
      </c>
      <c r="AE29" s="120"/>
      <c r="AF29" s="22"/>
      <c r="AG29" s="120"/>
      <c r="AH29" s="145"/>
    </row>
    <row r="30" spans="1:34" x14ac:dyDescent="0.3">
      <c r="A30" s="74">
        <v>24</v>
      </c>
      <c r="B30" s="139" t="s">
        <v>186</v>
      </c>
      <c r="C30" s="139" t="s">
        <v>22</v>
      </c>
      <c r="D30" s="125">
        <v>41149</v>
      </c>
      <c r="E30" s="82">
        <v>16.005299999999998</v>
      </c>
      <c r="F30" s="146">
        <v>3.1099999999999999E-2</v>
      </c>
      <c r="G30" s="146">
        <v>21.8797</v>
      </c>
      <c r="H30" s="87">
        <v>21.879000000000001</v>
      </c>
      <c r="I30" s="76">
        <v>0.15</v>
      </c>
      <c r="J30" s="78">
        <v>41481</v>
      </c>
      <c r="K30" s="148">
        <v>12314</v>
      </c>
      <c r="L30" s="74">
        <f t="shared" si="0"/>
        <v>12315.724201388191</v>
      </c>
      <c r="M30" s="74">
        <f>+(L30/'[4]Calibration curves '!$B$18)*'[4]Background info'!$C$3/1000</f>
        <v>4.0263028612279032E-2</v>
      </c>
      <c r="N30" s="74">
        <v>1.3421009537426345</v>
      </c>
      <c r="O30" s="74">
        <v>1.3285881823724612</v>
      </c>
      <c r="P30" s="79">
        <v>42.719877246702936</v>
      </c>
      <c r="Q30" s="80"/>
      <c r="S30" s="118"/>
      <c r="T30" s="120"/>
      <c r="U30" s="120"/>
      <c r="V30" s="120"/>
      <c r="W30" s="120"/>
      <c r="Y30" s="16"/>
      <c r="Z30" s="153"/>
      <c r="AA30" s="153"/>
      <c r="AC30" s="106"/>
      <c r="AD30" s="26"/>
      <c r="AE30" s="120"/>
      <c r="AF30" s="22"/>
      <c r="AG30" s="120"/>
      <c r="AH30" s="145"/>
    </row>
    <row r="31" spans="1:34" x14ac:dyDescent="0.3">
      <c r="A31" s="74">
        <v>25</v>
      </c>
      <c r="B31" s="139" t="s">
        <v>187</v>
      </c>
      <c r="C31" s="139" t="s">
        <v>22</v>
      </c>
      <c r="D31" s="125">
        <v>41149</v>
      </c>
      <c r="E31" s="82">
        <v>16.1401</v>
      </c>
      <c r="F31" s="146">
        <v>3.0300000000000001E-2</v>
      </c>
      <c r="G31" s="146">
        <v>22.011600000000001</v>
      </c>
      <c r="H31" s="87">
        <v>22.009399999999999</v>
      </c>
      <c r="I31" s="76">
        <v>0.15</v>
      </c>
      <c r="J31" s="78">
        <v>41481</v>
      </c>
      <c r="K31" s="148">
        <v>11171</v>
      </c>
      <c r="L31" s="74">
        <f t="shared" si="0"/>
        <v>11175.917403657613</v>
      </c>
      <c r="M31" s="74">
        <f>+(L31/'[4]Calibration curves '!$B$18)*'[4]Background info'!$C$3/1000</f>
        <v>3.6536729374080465E-2</v>
      </c>
      <c r="N31" s="74">
        <v>1.2178909791360157</v>
      </c>
      <c r="O31" s="74">
        <v>1.2043782077658425</v>
      </c>
      <c r="P31" s="79">
        <v>39.748455701842985</v>
      </c>
      <c r="Q31" s="80"/>
      <c r="S31" s="118"/>
      <c r="T31" s="120"/>
      <c r="U31" s="120"/>
      <c r="V31" s="120"/>
      <c r="W31" s="120"/>
      <c r="Y31" s="1" t="s">
        <v>112</v>
      </c>
      <c r="Z31" s="153"/>
      <c r="AA31" s="153"/>
      <c r="AC31" s="106"/>
      <c r="AD31" s="186" t="s">
        <v>107</v>
      </c>
      <c r="AE31" s="120"/>
      <c r="AF31" s="22"/>
      <c r="AG31" s="120"/>
      <c r="AH31" s="145"/>
    </row>
    <row r="32" spans="1:34" x14ac:dyDescent="0.3">
      <c r="A32" s="74">
        <v>26</v>
      </c>
      <c r="B32" s="139" t="s">
        <v>188</v>
      </c>
      <c r="C32" s="139" t="s">
        <v>22</v>
      </c>
      <c r="D32" s="125">
        <v>41149</v>
      </c>
      <c r="E32" s="82">
        <v>16.0595</v>
      </c>
      <c r="F32" s="146">
        <v>3.04E-2</v>
      </c>
      <c r="G32" s="146">
        <v>21.9284</v>
      </c>
      <c r="H32" s="87">
        <v>21.928699999999999</v>
      </c>
      <c r="I32" s="76">
        <v>0.15</v>
      </c>
      <c r="J32" s="78">
        <v>41481</v>
      </c>
      <c r="K32" s="148">
        <v>17892</v>
      </c>
      <c r="L32" s="74">
        <f t="shared" si="0"/>
        <v>17890.926544407339</v>
      </c>
      <c r="M32" s="74">
        <f>+(L32/'[4]Calibration curves '!$B$18)*'[4]Background info'!$C$3/1000</f>
        <v>5.8489689731478417E-2</v>
      </c>
      <c r="N32" s="74">
        <v>1.9496563243826137</v>
      </c>
      <c r="O32" s="74">
        <v>1.9361435530124405</v>
      </c>
      <c r="P32" s="79">
        <v>63.688932664882913</v>
      </c>
      <c r="Q32" s="80"/>
      <c r="S32" s="118"/>
      <c r="T32" s="120"/>
      <c r="U32" s="120"/>
      <c r="V32" s="120"/>
      <c r="W32" s="120"/>
      <c r="Y32" s="141" t="s">
        <v>106</v>
      </c>
      <c r="Z32" s="142">
        <v>319.44109277177006</v>
      </c>
      <c r="AA32" s="142">
        <v>326.48036425725667</v>
      </c>
      <c r="AB32" s="142">
        <v>620</v>
      </c>
      <c r="AC32" s="106"/>
      <c r="AD32" s="17" t="s">
        <v>200</v>
      </c>
      <c r="AE32" s="120"/>
      <c r="AF32" s="22"/>
      <c r="AG32" s="120"/>
      <c r="AH32" s="145"/>
    </row>
    <row r="33" spans="1:34" x14ac:dyDescent="0.3">
      <c r="A33" s="74">
        <v>27</v>
      </c>
      <c r="B33" s="139" t="s">
        <v>189</v>
      </c>
      <c r="C33" s="139" t="s">
        <v>22</v>
      </c>
      <c r="D33" s="125">
        <v>41149</v>
      </c>
      <c r="E33" s="82">
        <v>16.075700000000001</v>
      </c>
      <c r="F33" s="151">
        <v>3.0700000000000002E-2</v>
      </c>
      <c r="G33" s="146">
        <v>21.9467</v>
      </c>
      <c r="H33" s="130">
        <v>21.9437</v>
      </c>
      <c r="I33" s="76">
        <v>0.15</v>
      </c>
      <c r="J33" s="78">
        <v>41481</v>
      </c>
      <c r="K33" s="148">
        <v>13177</v>
      </c>
      <c r="L33" s="74">
        <f t="shared" si="0"/>
        <v>13184.910946567941</v>
      </c>
      <c r="M33" s="74">
        <f>+(L33/'[4]Calibration curves '!$B$18)*'[4]Background info'!$C$3/1000</f>
        <v>4.3104606599762806E-2</v>
      </c>
      <c r="N33" s="74">
        <v>1.4368202199920936</v>
      </c>
      <c r="O33" s="74">
        <v>1.4233074486219204</v>
      </c>
      <c r="P33" s="79">
        <v>46.361806144036493</v>
      </c>
      <c r="Q33" s="155"/>
      <c r="S33" s="118"/>
      <c r="U33" s="1" t="s">
        <v>162</v>
      </c>
      <c r="V33" s="14" t="s">
        <v>195</v>
      </c>
      <c r="Y33" s="144" t="s">
        <v>108</v>
      </c>
      <c r="Z33" s="145">
        <v>58</v>
      </c>
      <c r="AA33" s="145">
        <v>43</v>
      </c>
      <c r="AB33" s="145">
        <v>47</v>
      </c>
      <c r="AC33" s="106"/>
      <c r="AD33" s="17" t="s">
        <v>111</v>
      </c>
      <c r="AE33" s="120"/>
      <c r="AF33" s="22"/>
      <c r="AG33" s="120"/>
      <c r="AH33" s="145"/>
    </row>
    <row r="34" spans="1:34" x14ac:dyDescent="0.3">
      <c r="A34" s="74">
        <v>28</v>
      </c>
      <c r="B34" s="139" t="s">
        <v>189</v>
      </c>
      <c r="C34" s="139" t="s">
        <v>22</v>
      </c>
      <c r="D34" s="125">
        <v>41149</v>
      </c>
      <c r="E34" s="82">
        <v>15.946300000000001</v>
      </c>
      <c r="F34" s="151">
        <v>3.3700000000000001E-2</v>
      </c>
      <c r="G34" s="187">
        <v>21.824000000000002</v>
      </c>
      <c r="H34" s="87">
        <v>21.8231</v>
      </c>
      <c r="I34" s="157">
        <v>0.15</v>
      </c>
      <c r="J34" s="78">
        <v>41481</v>
      </c>
      <c r="K34" s="148">
        <v>15362</v>
      </c>
      <c r="L34" s="74">
        <f t="shared" si="0"/>
        <v>15364.765657818412</v>
      </c>
      <c r="M34" s="74">
        <f>+(L34/'[4]Calibration curves '!$B$18)*'[4]Background info'!$C$3/1000</f>
        <v>5.0231069581111162E-2</v>
      </c>
      <c r="N34" s="74">
        <v>1.674368986037039</v>
      </c>
      <c r="O34" s="74">
        <v>1.6608562146668657</v>
      </c>
      <c r="P34" s="79">
        <v>49.283567200797201</v>
      </c>
      <c r="Q34" s="155"/>
      <c r="S34" s="118"/>
      <c r="U34" s="1" t="s">
        <v>162</v>
      </c>
      <c r="Y34" s="149" t="s">
        <v>110</v>
      </c>
      <c r="Z34" s="150">
        <v>58.556630620375586</v>
      </c>
      <c r="AA34" s="150">
        <v>15.185543540125309</v>
      </c>
      <c r="AB34" s="150">
        <v>-187</v>
      </c>
      <c r="AC34" s="88"/>
      <c r="AD34" s="156"/>
      <c r="AE34" s="145"/>
      <c r="AF34" s="145"/>
      <c r="AG34" s="145"/>
      <c r="AH34" s="145"/>
    </row>
    <row r="35" spans="1:34" x14ac:dyDescent="0.3">
      <c r="A35" s="74">
        <v>29</v>
      </c>
      <c r="B35" s="74" t="s">
        <v>190</v>
      </c>
      <c r="C35" s="74" t="s">
        <v>17</v>
      </c>
      <c r="D35" s="112">
        <v>41080</v>
      </c>
      <c r="E35" s="82">
        <v>15.9785</v>
      </c>
      <c r="F35" s="151">
        <v>3.2099999999999997E-2</v>
      </c>
      <c r="G35" s="146">
        <v>21.854199999999999</v>
      </c>
      <c r="H35" s="130">
        <v>21.853300000000001</v>
      </c>
      <c r="I35" s="76">
        <v>0.15</v>
      </c>
      <c r="J35" s="78">
        <v>41481</v>
      </c>
      <c r="K35" s="148">
        <v>9714</v>
      </c>
      <c r="L35" s="74">
        <f t="shared" si="0"/>
        <v>9715.7488347902563</v>
      </c>
      <c r="M35" s="74">
        <f>+(L35/'[4]Calibration curves '!$B$18)*'[4]Background info'!$C$3/1000</f>
        <v>3.1763091388550539E-2</v>
      </c>
      <c r="N35" s="74">
        <v>1.0587697129516846</v>
      </c>
      <c r="O35" s="74">
        <v>1.0452569415815114</v>
      </c>
      <c r="P35" s="79">
        <v>32.562521544595377</v>
      </c>
      <c r="Q35" s="155"/>
      <c r="S35" s="118"/>
      <c r="Z35" s="16"/>
      <c r="AA35" s="16"/>
      <c r="AB35" s="16"/>
      <c r="AC35" s="16"/>
      <c r="AD35" s="188" t="s">
        <v>107</v>
      </c>
      <c r="AE35" s="16"/>
      <c r="AF35" s="158"/>
      <c r="AG35" s="16"/>
    </row>
    <row r="36" spans="1:34" ht="15" thickBot="1" x14ac:dyDescent="0.35">
      <c r="A36" s="74">
        <v>30</v>
      </c>
      <c r="B36" s="74" t="s">
        <v>191</v>
      </c>
      <c r="C36" s="74" t="s">
        <v>17</v>
      </c>
      <c r="D36" s="112">
        <v>41080</v>
      </c>
      <c r="E36" s="87">
        <v>15.960900000000001</v>
      </c>
      <c r="F36" s="146">
        <v>3.3099999999999997E-2</v>
      </c>
      <c r="G36" s="87">
        <v>21.838999999999999</v>
      </c>
      <c r="H36" s="87">
        <v>21.838999999999999</v>
      </c>
      <c r="I36" s="76">
        <v>0.15</v>
      </c>
      <c r="J36" s="78">
        <v>41481</v>
      </c>
      <c r="K36" s="81">
        <v>11893</v>
      </c>
      <c r="L36" s="74">
        <f t="shared" si="0"/>
        <v>11893</v>
      </c>
      <c r="M36" s="74">
        <f>+(L36/'[4]Calibration curves '!$B$18)*'[4]Background info'!$C$3/1000</f>
        <v>3.8881042759293043E-2</v>
      </c>
      <c r="N36" s="74">
        <v>1.2960347586431016</v>
      </c>
      <c r="O36" s="74">
        <v>1.2825219872729283</v>
      </c>
      <c r="P36" s="79">
        <v>38.746887833018988</v>
      </c>
      <c r="Q36" s="155"/>
      <c r="S36" s="118"/>
      <c r="AD36" s="115" t="s">
        <v>201</v>
      </c>
      <c r="AF36" s="86"/>
      <c r="AG36" s="22"/>
    </row>
    <row r="37" spans="1:34" x14ac:dyDescent="0.3">
      <c r="A37" s="74">
        <v>31</v>
      </c>
      <c r="B37" s="74" t="s">
        <v>196</v>
      </c>
      <c r="C37" s="74"/>
      <c r="D37" s="74"/>
      <c r="E37" s="87">
        <v>16.006799999999998</v>
      </c>
      <c r="F37" s="146">
        <v>3.2099999999999997E-2</v>
      </c>
      <c r="G37" s="82">
        <v>21.8843</v>
      </c>
      <c r="H37" s="87">
        <v>21.884</v>
      </c>
      <c r="I37" s="76">
        <v>0.15</v>
      </c>
      <c r="J37" s="78">
        <v>41481</v>
      </c>
      <c r="K37" s="81">
        <v>15778</v>
      </c>
      <c r="L37" s="74">
        <f t="shared" si="0"/>
        <v>15778.946736804206</v>
      </c>
      <c r="M37" s="74">
        <f>+(L37/'[4]Calibration curves '!$B$18)*'[4]Background info'!$C$3/1000</f>
        <v>5.1585125937130397E-2</v>
      </c>
      <c r="N37" s="74">
        <v>1.7195041979043466</v>
      </c>
      <c r="O37" s="74">
        <v>1.7059914265341733</v>
      </c>
      <c r="P37" s="79">
        <v>53.146150359320046</v>
      </c>
      <c r="Q37" s="155"/>
      <c r="S37" s="160">
        <f t="shared" ref="S37:S42" si="1">P37*1.063</f>
        <v>56.494357831957203</v>
      </c>
      <c r="T37" s="189">
        <f>AVERAGE(S37:S38)</f>
        <v>57.100786152887835</v>
      </c>
      <c r="U37" s="190">
        <v>53.6</v>
      </c>
      <c r="V37" s="163" t="s">
        <v>77</v>
      </c>
      <c r="AD37" s="115" t="s">
        <v>202</v>
      </c>
      <c r="AF37" s="86"/>
      <c r="AG37" s="22"/>
    </row>
    <row r="38" spans="1:34" x14ac:dyDescent="0.3">
      <c r="A38" s="74">
        <v>32</v>
      </c>
      <c r="B38" s="74" t="s">
        <v>196</v>
      </c>
      <c r="C38" s="139"/>
      <c r="D38" s="139"/>
      <c r="E38" s="82">
        <v>15.9313</v>
      </c>
      <c r="F38" s="146">
        <v>3.1699999999999999E-2</v>
      </c>
      <c r="G38" s="82">
        <v>21.807200000000002</v>
      </c>
      <c r="H38" s="87">
        <v>21.8079</v>
      </c>
      <c r="I38" s="76">
        <v>0.15</v>
      </c>
      <c r="J38" s="78">
        <v>41481</v>
      </c>
      <c r="K38" s="81">
        <v>15918</v>
      </c>
      <c r="L38" s="74">
        <f t="shared" si="0"/>
        <v>15915.771791949132</v>
      </c>
      <c r="M38" s="74">
        <f>+(L38/'[4]Calibration curves '!$B$18)*'[4]Background info'!$C$3/1000</f>
        <v>5.2032439551830845E-2</v>
      </c>
      <c r="N38" s="74">
        <v>1.7344146517276948</v>
      </c>
      <c r="O38" s="74">
        <v>1.7209018803575216</v>
      </c>
      <c r="P38" s="79">
        <v>54.287125563328757</v>
      </c>
      <c r="Q38" s="88"/>
      <c r="S38" s="164">
        <f t="shared" si="1"/>
        <v>57.707214473818468</v>
      </c>
      <c r="T38" s="120"/>
      <c r="U38" s="120"/>
      <c r="V38" s="166"/>
      <c r="AD38" s="115" t="s">
        <v>115</v>
      </c>
      <c r="AF38" s="86"/>
    </row>
    <row r="39" spans="1:34" x14ac:dyDescent="0.3">
      <c r="A39" s="74">
        <v>33</v>
      </c>
      <c r="B39" s="139" t="s">
        <v>197</v>
      </c>
      <c r="C39" s="139"/>
      <c r="D39" s="139"/>
      <c r="E39" s="82">
        <v>15.873699999999999</v>
      </c>
      <c r="F39" s="146">
        <v>3.1300000000000001E-2</v>
      </c>
      <c r="G39" s="87">
        <v>21.768000000000001</v>
      </c>
      <c r="H39" s="87">
        <v>21.7654</v>
      </c>
      <c r="I39" s="76">
        <v>0.15</v>
      </c>
      <c r="J39" s="78">
        <v>41481</v>
      </c>
      <c r="K39" s="81">
        <v>35284</v>
      </c>
      <c r="L39" s="74">
        <f t="shared" si="0"/>
        <v>35302.357225757398</v>
      </c>
      <c r="M39" s="74">
        <f>+(L39/'[4]Calibration curves '!$B$18)*'[4]Background info'!$C$3/1000</f>
        <v>0.11541179355911135</v>
      </c>
      <c r="N39" s="74">
        <v>3.8470597853037121</v>
      </c>
      <c r="O39" s="74">
        <v>3.833547013933539</v>
      </c>
      <c r="P39" s="79">
        <v>122.47754038126322</v>
      </c>
      <c r="Q39" s="88">
        <v>106.00501802438455</v>
      </c>
      <c r="S39" s="164"/>
      <c r="T39" s="120"/>
      <c r="V39" s="166"/>
      <c r="AF39" s="86"/>
      <c r="AG39" s="86"/>
      <c r="AH39" s="86"/>
    </row>
    <row r="40" spans="1:34" x14ac:dyDescent="0.3">
      <c r="A40" s="74">
        <v>34</v>
      </c>
      <c r="B40" s="139" t="s">
        <v>197</v>
      </c>
      <c r="C40" s="139"/>
      <c r="D40" s="139"/>
      <c r="E40" s="82">
        <v>16.0992</v>
      </c>
      <c r="F40" s="146">
        <v>3.27E-2</v>
      </c>
      <c r="G40" s="82">
        <v>22.0045</v>
      </c>
      <c r="H40" s="87">
        <v>22.005700000000001</v>
      </c>
      <c r="I40" s="76">
        <v>0.15</v>
      </c>
      <c r="J40" s="78">
        <v>41481</v>
      </c>
      <c r="K40" s="81">
        <v>35465</v>
      </c>
      <c r="L40" s="74">
        <f t="shared" si="0"/>
        <v>35456.490442293842</v>
      </c>
      <c r="M40" s="74">
        <f>+(L40/'[4]Calibration curves '!$B$18)*'[4]Background info'!$C$3/1000</f>
        <v>0.11591569166579435</v>
      </c>
      <c r="N40" s="74">
        <v>3.8638563888598121</v>
      </c>
      <c r="O40" s="74">
        <v>3.850343617489639</v>
      </c>
      <c r="P40" s="79">
        <v>117.74751123821527</v>
      </c>
      <c r="Q40" s="88">
        <v>106.84484820218958</v>
      </c>
      <c r="S40" s="164"/>
      <c r="T40" s="120"/>
      <c r="U40" s="120"/>
      <c r="V40" s="166"/>
      <c r="AF40" s="86"/>
    </row>
    <row r="41" spans="1:34" x14ac:dyDescent="0.3">
      <c r="A41" s="74">
        <v>35</v>
      </c>
      <c r="B41" s="139" t="s">
        <v>76</v>
      </c>
      <c r="C41" s="139"/>
      <c r="D41" s="139"/>
      <c r="E41" s="82">
        <v>16.072800000000001</v>
      </c>
      <c r="F41" s="146">
        <v>3.0200000000000001E-2</v>
      </c>
      <c r="G41" s="87">
        <v>21.950500000000002</v>
      </c>
      <c r="H41" s="87">
        <v>21.950600000000001</v>
      </c>
      <c r="I41" s="82">
        <v>0.15</v>
      </c>
      <c r="J41" s="78">
        <v>41481</v>
      </c>
      <c r="K41" s="81">
        <v>1551</v>
      </c>
      <c r="L41" s="74">
        <f t="shared" si="0"/>
        <v>1550.9689806203876</v>
      </c>
      <c r="M41" s="74">
        <f>+(L41/'[4]Calibration curves '!$B$18)*'[4]Background info'!$C$3/1000</f>
        <v>5.0704861055947568E-3</v>
      </c>
      <c r="N41" s="74">
        <v>0.16901620351982524</v>
      </c>
      <c r="O41" s="74">
        <v>0.15550343214965209</v>
      </c>
      <c r="P41" s="79">
        <v>5.149120269856029</v>
      </c>
      <c r="Q41" s="88"/>
      <c r="S41" s="164">
        <f>P41*1.063</f>
        <v>5.4735148468569585</v>
      </c>
      <c r="T41" s="120">
        <f>AVERAGE(S41:S42)</f>
        <v>5.9518121180911443</v>
      </c>
      <c r="U41" s="26">
        <v>6.41</v>
      </c>
      <c r="V41" s="166"/>
      <c r="AF41" s="86"/>
    </row>
    <row r="42" spans="1:34" ht="15" thickBot="1" x14ac:dyDescent="0.35">
      <c r="A42" s="74">
        <v>36</v>
      </c>
      <c r="B42" s="139" t="s">
        <v>76</v>
      </c>
      <c r="C42" s="139"/>
      <c r="D42" s="139"/>
      <c r="E42" s="82">
        <v>16.049099999999999</v>
      </c>
      <c r="F42" s="146">
        <v>3.3300000000000003E-2</v>
      </c>
      <c r="G42" s="87">
        <v>21.925000000000001</v>
      </c>
      <c r="H42" s="87">
        <v>21.9239</v>
      </c>
      <c r="I42" s="82">
        <v>0.15</v>
      </c>
      <c r="J42" s="78">
        <v>41481</v>
      </c>
      <c r="K42" s="81">
        <v>1972</v>
      </c>
      <c r="L42" s="74">
        <f t="shared" si="0"/>
        <v>1972.4339354658027</v>
      </c>
      <c r="M42" s="74">
        <f>+(L42/'[4]Calibration curves '!$B$18)*'[4]Background info'!$C$3/1000</f>
        <v>6.4483551824372782E-3</v>
      </c>
      <c r="N42" s="74">
        <v>0.21494517274790928</v>
      </c>
      <c r="O42" s="74">
        <v>0.20143240137773613</v>
      </c>
      <c r="P42" s="79">
        <v>6.0490210623944778</v>
      </c>
      <c r="Q42" s="88"/>
      <c r="S42" s="168">
        <f t="shared" si="1"/>
        <v>6.4301093893253292</v>
      </c>
      <c r="T42" s="176"/>
      <c r="U42" s="176"/>
      <c r="V42" s="177"/>
      <c r="AF42" s="86"/>
      <c r="AG42" s="167"/>
      <c r="AH42" s="167"/>
    </row>
    <row r="43" spans="1:34" x14ac:dyDescent="0.3">
      <c r="A43" s="74">
        <v>37</v>
      </c>
      <c r="B43" s="139" t="s">
        <v>79</v>
      </c>
      <c r="C43" s="139"/>
      <c r="D43" s="139"/>
      <c r="E43" s="82">
        <v>16.075700000000001</v>
      </c>
      <c r="F43" s="151">
        <v>0.03</v>
      </c>
      <c r="G43" s="82">
        <v>21.9588</v>
      </c>
      <c r="H43" s="87">
        <v>21.959800000000001</v>
      </c>
      <c r="I43" s="82">
        <v>0.15</v>
      </c>
      <c r="J43" s="78">
        <v>41481</v>
      </c>
      <c r="K43" s="81">
        <v>21031</v>
      </c>
      <c r="L43" s="74">
        <f t="shared" si="0"/>
        <v>21026.794641071781</v>
      </c>
      <c r="M43" s="74">
        <f>+(L43/'[4]Calibration curves '!$B$18)*'[4]Background info'!$C$3/1000</f>
        <v>6.8741587617118127E-2</v>
      </c>
      <c r="N43" s="74">
        <v>2.2913862539039376</v>
      </c>
      <c r="O43" s="74">
        <v>2.2778734825337645</v>
      </c>
      <c r="P43" s="79">
        <v>75.929116084458826</v>
      </c>
      <c r="Q43" s="88">
        <v>104.97027828850352</v>
      </c>
      <c r="AF43" s="86"/>
      <c r="AG43" s="167"/>
      <c r="AH43" s="167"/>
    </row>
    <row r="44" spans="1:34" x14ac:dyDescent="0.3">
      <c r="A44" s="74">
        <v>38</v>
      </c>
      <c r="B44" s="139" t="s">
        <v>79</v>
      </c>
      <c r="C44" s="139"/>
      <c r="D44" s="139"/>
      <c r="E44" s="82">
        <v>16.039200000000001</v>
      </c>
      <c r="F44" s="146">
        <v>3.04E-2</v>
      </c>
      <c r="G44" s="82">
        <v>21.929300000000001</v>
      </c>
      <c r="H44" s="87">
        <v>21.930099999999999</v>
      </c>
      <c r="I44" s="82">
        <v>0.15</v>
      </c>
      <c r="J44" s="78">
        <v>41481</v>
      </c>
      <c r="K44" s="81">
        <v>21875</v>
      </c>
      <c r="L44" s="74">
        <f t="shared" si="0"/>
        <v>21871.500559910422</v>
      </c>
      <c r="M44" s="74">
        <f>+(L44/'[4]Calibration curves '!$B$18)*'[4]Background info'!$C$3/1000</f>
        <v>7.1503131966684508E-2</v>
      </c>
      <c r="N44" s="74">
        <v>2.3834377322228169</v>
      </c>
      <c r="O44" s="74">
        <v>2.3699249608526438</v>
      </c>
      <c r="P44" s="79">
        <v>77.958057922784334</v>
      </c>
      <c r="Q44" s="88">
        <v>109.57285220444749</v>
      </c>
      <c r="AF44" s="86"/>
    </row>
    <row r="45" spans="1:34" x14ac:dyDescent="0.3">
      <c r="A45" s="74">
        <v>39</v>
      </c>
      <c r="B45" s="139" t="s">
        <v>81</v>
      </c>
      <c r="C45" s="139"/>
      <c r="D45" s="139"/>
      <c r="E45" s="82">
        <v>15.9872</v>
      </c>
      <c r="F45" s="146">
        <v>2.5100000000000001E-2</v>
      </c>
      <c r="G45" s="87">
        <v>21.851600000000001</v>
      </c>
      <c r="H45" s="87">
        <v>21.8505</v>
      </c>
      <c r="I45" s="82">
        <v>0.15</v>
      </c>
      <c r="J45" s="78">
        <v>41481</v>
      </c>
      <c r="K45" s="81">
        <v>5515</v>
      </c>
      <c r="L45" s="74">
        <f t="shared" si="0"/>
        <v>5516.2135669847376</v>
      </c>
      <c r="M45" s="74">
        <f>+(L45/'[4]Calibration curves '!$B$18)*'[4]Background info'!$C$3/1000</f>
        <v>1.8033812794696544E-2</v>
      </c>
      <c r="N45" s="74">
        <v>0.60112709315655144</v>
      </c>
      <c r="O45" s="74">
        <v>0.58761432178637829</v>
      </c>
      <c r="P45" s="79">
        <v>23.410929154835788</v>
      </c>
      <c r="Q45" s="88"/>
      <c r="S45" s="16">
        <f>P45*1.051</f>
        <v>24.604886541732412</v>
      </c>
      <c r="T45" s="14">
        <f>AVERAGE(S45:S46)</f>
        <v>23.756411001409958</v>
      </c>
      <c r="U45" s="172" t="s">
        <v>82</v>
      </c>
      <c r="V45" s="83" t="s">
        <v>81</v>
      </c>
      <c r="AF45" s="86"/>
    </row>
    <row r="46" spans="1:34" x14ac:dyDescent="0.3">
      <c r="A46" s="74">
        <v>40</v>
      </c>
      <c r="B46" s="139" t="s">
        <v>81</v>
      </c>
      <c r="C46" s="139"/>
      <c r="D46" s="139"/>
      <c r="E46" s="87">
        <v>16.024100000000001</v>
      </c>
      <c r="F46" s="82">
        <v>2.5499999999999998E-2</v>
      </c>
      <c r="G46" s="82">
        <v>21.8934</v>
      </c>
      <c r="H46" s="87">
        <v>21.895</v>
      </c>
      <c r="I46" s="82">
        <v>0.15</v>
      </c>
      <c r="J46" s="78">
        <v>41481</v>
      </c>
      <c r="K46" s="81">
        <v>5226</v>
      </c>
      <c r="L46" s="74">
        <f t="shared" si="0"/>
        <v>5224.3282149712095</v>
      </c>
      <c r="M46" s="74">
        <f>+(L46/'[4]Calibration curves '!$B$18)*'[4]Background info'!$C$3/1000</f>
        <v>1.7079570227434348E-2</v>
      </c>
      <c r="N46" s="74">
        <v>0.56931900758114495</v>
      </c>
      <c r="O46" s="74">
        <v>0.5558062362109718</v>
      </c>
      <c r="P46" s="79">
        <v>21.796322988665562</v>
      </c>
      <c r="Q46" s="88"/>
      <c r="S46" s="16">
        <f>P46*1.051</f>
        <v>22.907935461087504</v>
      </c>
      <c r="AF46" s="86"/>
    </row>
    <row r="47" spans="1:34" x14ac:dyDescent="0.3">
      <c r="P47" s="24"/>
      <c r="Q47" s="25"/>
      <c r="AF47" s="86"/>
    </row>
    <row r="48" spans="1:34" x14ac:dyDescent="0.3">
      <c r="P48" s="24"/>
      <c r="Q48" s="25"/>
      <c r="AF48" s="86"/>
    </row>
    <row r="49" spans="16:32" x14ac:dyDescent="0.3">
      <c r="P49" s="24"/>
      <c r="Q49" s="25"/>
      <c r="AF49" s="86"/>
    </row>
    <row r="50" spans="16:32" x14ac:dyDescent="0.3">
      <c r="AF50" s="86"/>
    </row>
    <row r="51" spans="16:32" x14ac:dyDescent="0.3">
      <c r="AF51" s="86"/>
    </row>
    <row r="52" spans="16:32" x14ac:dyDescent="0.3">
      <c r="AF52" s="86"/>
    </row>
    <row r="53" spans="16:32" x14ac:dyDescent="0.3">
      <c r="AF53" s="86"/>
    </row>
    <row r="54" spans="16:32" x14ac:dyDescent="0.3">
      <c r="AF54" s="86"/>
    </row>
    <row r="55" spans="16:32" x14ac:dyDescent="0.3">
      <c r="AF55" s="86"/>
    </row>
    <row r="56" spans="16:32" x14ac:dyDescent="0.3">
      <c r="AF56" s="86"/>
    </row>
    <row r="57" spans="16:32" x14ac:dyDescent="0.3">
      <c r="AF57" s="86"/>
    </row>
    <row r="58" spans="16:32" x14ac:dyDescent="0.3">
      <c r="AF58" s="86"/>
    </row>
    <row r="59" spans="16:32" x14ac:dyDescent="0.3">
      <c r="AF59" s="86"/>
    </row>
    <row r="60" spans="16:32" x14ac:dyDescent="0.3">
      <c r="AF60" s="86"/>
    </row>
    <row r="61" spans="16:32" x14ac:dyDescent="0.3">
      <c r="AF61" s="86"/>
    </row>
    <row r="62" spans="16:32" x14ac:dyDescent="0.3">
      <c r="AF62" s="86"/>
    </row>
    <row r="63" spans="16:32" x14ac:dyDescent="0.3">
      <c r="AF63" s="86"/>
    </row>
    <row r="64" spans="16:32" x14ac:dyDescent="0.3">
      <c r="AF64" s="86"/>
    </row>
    <row r="65" spans="32:32" x14ac:dyDescent="0.3">
      <c r="AF65" s="86"/>
    </row>
    <row r="66" spans="32:32" x14ac:dyDescent="0.3">
      <c r="AF66" s="86"/>
    </row>
    <row r="67" spans="32:32" x14ac:dyDescent="0.3">
      <c r="AF67" s="86"/>
    </row>
    <row r="68" spans="32:32" x14ac:dyDescent="0.3">
      <c r="AF68" s="86"/>
    </row>
    <row r="69" spans="32:32" x14ac:dyDescent="0.3">
      <c r="AF69" s="86"/>
    </row>
    <row r="70" spans="32:32" x14ac:dyDescent="0.3">
      <c r="AF70" s="86"/>
    </row>
    <row r="71" spans="32:32" x14ac:dyDescent="0.3">
      <c r="AF71" s="86"/>
    </row>
    <row r="72" spans="32:32" x14ac:dyDescent="0.3">
      <c r="AF72" s="86"/>
    </row>
    <row r="73" spans="32:32" x14ac:dyDescent="0.3">
      <c r="AF73" s="86"/>
    </row>
    <row r="74" spans="32:32" x14ac:dyDescent="0.3">
      <c r="AF74" s="86"/>
    </row>
    <row r="75" spans="32:32" x14ac:dyDescent="0.3">
      <c r="AF75" s="86"/>
    </row>
    <row r="76" spans="32:32" x14ac:dyDescent="0.3">
      <c r="AF76" s="86"/>
    </row>
    <row r="77" spans="32:32" x14ac:dyDescent="0.3">
      <c r="AF77" s="86"/>
    </row>
    <row r="78" spans="32:32" x14ac:dyDescent="0.3">
      <c r="AF78" s="86"/>
    </row>
    <row r="79" spans="32:32" x14ac:dyDescent="0.3">
      <c r="AF79" s="86"/>
    </row>
    <row r="80" spans="32:32" x14ac:dyDescent="0.3">
      <c r="AF80" s="86"/>
    </row>
    <row r="81" spans="32:32" x14ac:dyDescent="0.3">
      <c r="AF81" s="86"/>
    </row>
    <row r="82" spans="32:32" x14ac:dyDescent="0.3">
      <c r="AF82" s="86"/>
    </row>
    <row r="83" spans="32:32" x14ac:dyDescent="0.3">
      <c r="AF83" s="86"/>
    </row>
    <row r="84" spans="32:32" x14ac:dyDescent="0.3">
      <c r="AF84" s="86"/>
    </row>
    <row r="85" spans="32:32" x14ac:dyDescent="0.3">
      <c r="AF85" s="86"/>
    </row>
    <row r="86" spans="32:32" x14ac:dyDescent="0.3">
      <c r="AF86" s="86"/>
    </row>
    <row r="87" spans="32:32" x14ac:dyDescent="0.3">
      <c r="AF87" s="86"/>
    </row>
    <row r="88" spans="32:32" x14ac:dyDescent="0.3">
      <c r="AF88" s="86"/>
    </row>
    <row r="89" spans="32:32" x14ac:dyDescent="0.3">
      <c r="AF89" s="86"/>
    </row>
    <row r="90" spans="32:32" x14ac:dyDescent="0.3">
      <c r="AF90" s="86"/>
    </row>
    <row r="91" spans="32:32" x14ac:dyDescent="0.3">
      <c r="AF91" s="86"/>
    </row>
    <row r="92" spans="32:32" x14ac:dyDescent="0.3">
      <c r="AF92" s="86"/>
    </row>
    <row r="93" spans="32:32" x14ac:dyDescent="0.3">
      <c r="AF93" s="86"/>
    </row>
    <row r="94" spans="32:32" x14ac:dyDescent="0.3">
      <c r="AF94" s="86"/>
    </row>
    <row r="95" spans="32:32" x14ac:dyDescent="0.3">
      <c r="AF95" s="86"/>
    </row>
    <row r="96" spans="32:32" x14ac:dyDescent="0.3">
      <c r="AF96" s="86"/>
    </row>
    <row r="97" spans="32:32" x14ac:dyDescent="0.3">
      <c r="AF97" s="86"/>
    </row>
    <row r="98" spans="32:32" x14ac:dyDescent="0.3">
      <c r="AF98" s="86"/>
    </row>
    <row r="99" spans="32:32" x14ac:dyDescent="0.3">
      <c r="AF99" s="86"/>
    </row>
    <row r="100" spans="32:32" x14ac:dyDescent="0.3">
      <c r="AF100" s="86"/>
    </row>
    <row r="101" spans="32:32" x14ac:dyDescent="0.3">
      <c r="AF101" s="86"/>
    </row>
    <row r="102" spans="32:32" x14ac:dyDescent="0.3">
      <c r="AF102" s="86"/>
    </row>
    <row r="103" spans="32:32" x14ac:dyDescent="0.3">
      <c r="AF103" s="86"/>
    </row>
    <row r="104" spans="32:32" x14ac:dyDescent="0.3">
      <c r="AF104" s="86"/>
    </row>
    <row r="105" spans="32:32" x14ac:dyDescent="0.3">
      <c r="AF105" s="86"/>
    </row>
    <row r="106" spans="32:32" x14ac:dyDescent="0.3">
      <c r="AF106" s="86"/>
    </row>
    <row r="107" spans="32:32" x14ac:dyDescent="0.3">
      <c r="AF107" s="86"/>
    </row>
    <row r="108" spans="32:32" x14ac:dyDescent="0.3">
      <c r="AF108" s="86"/>
    </row>
    <row r="109" spans="32:32" x14ac:dyDescent="0.3">
      <c r="AF109" s="86"/>
    </row>
    <row r="110" spans="32:32" x14ac:dyDescent="0.3">
      <c r="AF110" s="86"/>
    </row>
    <row r="111" spans="32:32" x14ac:dyDescent="0.3">
      <c r="AF111" s="86"/>
    </row>
    <row r="112" spans="32:32" x14ac:dyDescent="0.3">
      <c r="AF112" s="86"/>
    </row>
    <row r="113" spans="32:32" x14ac:dyDescent="0.3">
      <c r="AF113" s="86"/>
    </row>
    <row r="114" spans="32:32" x14ac:dyDescent="0.3">
      <c r="AF114" s="86"/>
    </row>
    <row r="115" spans="32:32" x14ac:dyDescent="0.3">
      <c r="AF115" s="86"/>
    </row>
    <row r="116" spans="32:32" x14ac:dyDescent="0.3">
      <c r="AF116" s="86"/>
    </row>
    <row r="117" spans="32:32" x14ac:dyDescent="0.3">
      <c r="AF117" s="86"/>
    </row>
    <row r="118" spans="32:32" x14ac:dyDescent="0.3">
      <c r="AF118" s="86"/>
    </row>
    <row r="119" spans="32:32" x14ac:dyDescent="0.3">
      <c r="AF119" s="86"/>
    </row>
    <row r="120" spans="32:32" x14ac:dyDescent="0.3">
      <c r="AF120" s="86"/>
    </row>
    <row r="121" spans="32:32" x14ac:dyDescent="0.3">
      <c r="AF121" s="86"/>
    </row>
    <row r="122" spans="32:32" x14ac:dyDescent="0.3">
      <c r="AF122" s="86"/>
    </row>
    <row r="123" spans="32:32" x14ac:dyDescent="0.3">
      <c r="AF123" s="86"/>
    </row>
    <row r="124" spans="32:32" x14ac:dyDescent="0.3">
      <c r="AF124" s="86"/>
    </row>
    <row r="125" spans="32:32" x14ac:dyDescent="0.3">
      <c r="AF125" s="86"/>
    </row>
    <row r="126" spans="32:32" x14ac:dyDescent="0.3">
      <c r="AF126" s="86"/>
    </row>
    <row r="127" spans="32:32" x14ac:dyDescent="0.3">
      <c r="AF127" s="86"/>
    </row>
    <row r="128" spans="32:32" x14ac:dyDescent="0.3">
      <c r="AF128" s="86"/>
    </row>
    <row r="129" spans="32:32" x14ac:dyDescent="0.3">
      <c r="AF129" s="86"/>
    </row>
    <row r="130" spans="32:32" x14ac:dyDescent="0.3">
      <c r="AF130" s="86"/>
    </row>
    <row r="131" spans="32:32" x14ac:dyDescent="0.3">
      <c r="AF131" s="86"/>
    </row>
    <row r="132" spans="32:32" x14ac:dyDescent="0.3">
      <c r="AF132" s="86"/>
    </row>
    <row r="133" spans="32:32" x14ac:dyDescent="0.3">
      <c r="AF133" s="86"/>
    </row>
    <row r="134" spans="32:32" x14ac:dyDescent="0.3">
      <c r="AF134" s="86"/>
    </row>
    <row r="135" spans="32:32" x14ac:dyDescent="0.3">
      <c r="AF135" s="86"/>
    </row>
    <row r="136" spans="32:32" x14ac:dyDescent="0.3">
      <c r="AF136" s="86"/>
    </row>
    <row r="137" spans="32:32" x14ac:dyDescent="0.3">
      <c r="AF137" s="86"/>
    </row>
    <row r="138" spans="32:32" x14ac:dyDescent="0.3">
      <c r="AF138" s="86"/>
    </row>
    <row r="139" spans="32:32" x14ac:dyDescent="0.3">
      <c r="AF139" s="86"/>
    </row>
    <row r="140" spans="32:32" x14ac:dyDescent="0.3">
      <c r="AF140" s="86"/>
    </row>
    <row r="141" spans="32:32" x14ac:dyDescent="0.3">
      <c r="AF141" s="86"/>
    </row>
    <row r="142" spans="32:32" x14ac:dyDescent="0.3">
      <c r="AF142" s="86"/>
    </row>
    <row r="143" spans="32:32" x14ac:dyDescent="0.3">
      <c r="AF143" s="86"/>
    </row>
    <row r="144" spans="32:32" x14ac:dyDescent="0.3">
      <c r="AF144" s="86"/>
    </row>
    <row r="145" spans="32:32" x14ac:dyDescent="0.3">
      <c r="AF145" s="86"/>
    </row>
    <row r="146" spans="32:32" x14ac:dyDescent="0.3">
      <c r="AF146" s="86"/>
    </row>
    <row r="147" spans="32:32" x14ac:dyDescent="0.3">
      <c r="AF147" s="86"/>
    </row>
    <row r="148" spans="32:32" x14ac:dyDescent="0.3">
      <c r="AF148" s="86"/>
    </row>
    <row r="149" spans="32:32" x14ac:dyDescent="0.3">
      <c r="AF149" s="86"/>
    </row>
  </sheetData>
  <mergeCells count="1">
    <mergeCell ref="X4:Y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50"/>
  <sheetViews>
    <sheetView zoomScale="80" zoomScaleNormal="80" workbookViewId="0">
      <selection activeCell="G14" sqref="G14"/>
    </sheetView>
  </sheetViews>
  <sheetFormatPr defaultColWidth="8.90625" defaultRowHeight="14.4" x14ac:dyDescent="0.3"/>
  <cols>
    <col min="1" max="1" width="14.453125" style="16" customWidth="1"/>
    <col min="2" max="2" width="15.54296875" style="14" customWidth="1"/>
    <col min="3" max="17" width="8.90625" style="14"/>
    <col min="18" max="18" width="12" style="14" customWidth="1"/>
    <col min="19" max="19" width="8.90625" style="14"/>
    <col min="20" max="20" width="13.54296875" style="16" customWidth="1"/>
    <col min="21" max="21" width="8.90625" style="16"/>
    <col min="22" max="22" width="13.08984375" style="14" customWidth="1"/>
    <col min="23" max="27" width="8.90625" style="14"/>
    <col min="28" max="28" width="9.54296875" style="14" bestFit="1" customWidth="1"/>
    <col min="29" max="16384" width="8.90625" style="14"/>
  </cols>
  <sheetData>
    <row r="1" spans="1:34" ht="15.6" thickTop="1" thickBot="1" x14ac:dyDescent="0.35">
      <c r="A1" s="19" t="s">
        <v>32</v>
      </c>
      <c r="B1" s="20">
        <v>41499</v>
      </c>
      <c r="C1" s="21"/>
      <c r="D1" s="21"/>
      <c r="E1" s="22"/>
      <c r="F1" s="22"/>
      <c r="G1" s="23"/>
      <c r="H1" s="23"/>
      <c r="I1" s="23"/>
      <c r="J1" s="23"/>
      <c r="K1" s="23"/>
      <c r="L1" s="23"/>
      <c r="M1" s="22"/>
      <c r="Q1" s="24"/>
      <c r="R1" s="25"/>
    </row>
    <row r="2" spans="1:34" ht="15" thickTop="1" x14ac:dyDescent="0.3">
      <c r="A2" s="26"/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22"/>
      <c r="Q2" s="24"/>
      <c r="R2" s="25"/>
    </row>
    <row r="3" spans="1:34" ht="15" thickBot="1" x14ac:dyDescent="0.35">
      <c r="A3" s="27" t="s">
        <v>33</v>
      </c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M3" s="29"/>
      <c r="N3" s="30"/>
      <c r="O3" s="30"/>
      <c r="P3" s="30"/>
      <c r="Q3" s="31"/>
      <c r="R3" s="32"/>
      <c r="S3" s="30"/>
      <c r="V3" s="30"/>
      <c r="W3" s="30"/>
      <c r="X3" s="30"/>
      <c r="Y3" s="202" t="s">
        <v>84</v>
      </c>
      <c r="Z3" s="202"/>
      <c r="AA3" s="34"/>
      <c r="AB3" s="34"/>
      <c r="AC3" s="34"/>
    </row>
    <row r="4" spans="1:34" ht="15" thickTop="1" x14ac:dyDescent="0.3">
      <c r="A4" s="35" t="s">
        <v>34</v>
      </c>
      <c r="B4" s="36" t="s">
        <v>35</v>
      </c>
      <c r="C4" s="37" t="s">
        <v>4</v>
      </c>
      <c r="D4" s="37" t="s">
        <v>36</v>
      </c>
      <c r="E4" s="38" t="s">
        <v>37</v>
      </c>
      <c r="F4" s="39" t="s">
        <v>38</v>
      </c>
      <c r="G4" s="39" t="s">
        <v>39</v>
      </c>
      <c r="H4" s="40" t="s">
        <v>39</v>
      </c>
      <c r="I4" s="41" t="s">
        <v>40</v>
      </c>
      <c r="J4" s="42" t="s">
        <v>41</v>
      </c>
      <c r="K4" s="40" t="s">
        <v>221</v>
      </c>
      <c r="L4" s="38"/>
      <c r="M4" s="43" t="s">
        <v>42</v>
      </c>
      <c r="N4" s="44"/>
      <c r="O4" s="45" t="s">
        <v>43</v>
      </c>
      <c r="P4" s="45" t="s">
        <v>43</v>
      </c>
      <c r="Q4" s="46"/>
      <c r="R4" s="47"/>
      <c r="T4" s="48"/>
      <c r="U4" s="48"/>
      <c r="V4" s="49"/>
      <c r="Y4" s="50" t="s">
        <v>85</v>
      </c>
      <c r="Z4" s="50" t="s">
        <v>86</v>
      </c>
      <c r="AA4" s="50" t="s">
        <v>87</v>
      </c>
      <c r="AB4" s="50" t="s">
        <v>88</v>
      </c>
      <c r="AC4" s="50" t="s">
        <v>89</v>
      </c>
    </row>
    <row r="5" spans="1:34" x14ac:dyDescent="0.3">
      <c r="A5" s="51" t="s">
        <v>44</v>
      </c>
      <c r="B5" s="52"/>
      <c r="C5" s="53"/>
      <c r="D5" s="53"/>
      <c r="E5" s="54" t="s">
        <v>45</v>
      </c>
      <c r="F5" s="54" t="s">
        <v>45</v>
      </c>
      <c r="G5" s="54" t="s">
        <v>46</v>
      </c>
      <c r="H5" s="54" t="s">
        <v>47</v>
      </c>
      <c r="I5" s="54" t="s">
        <v>48</v>
      </c>
      <c r="J5" s="28"/>
      <c r="K5" s="54"/>
      <c r="L5" s="54" t="s">
        <v>49</v>
      </c>
      <c r="M5" s="54" t="s">
        <v>50</v>
      </c>
      <c r="N5" s="55"/>
      <c r="O5" s="56" t="s">
        <v>51</v>
      </c>
      <c r="P5" s="56" t="s">
        <v>52</v>
      </c>
      <c r="Q5" s="57" t="s">
        <v>53</v>
      </c>
      <c r="R5" s="58" t="s">
        <v>54</v>
      </c>
      <c r="T5" s="59" t="s">
        <v>55</v>
      </c>
      <c r="U5" s="59" t="s">
        <v>56</v>
      </c>
      <c r="V5" s="59" t="s">
        <v>57</v>
      </c>
      <c r="Y5" s="173" t="s">
        <v>90</v>
      </c>
      <c r="Z5" s="81">
        <v>5</v>
      </c>
      <c r="AA5" s="81">
        <v>1.03</v>
      </c>
      <c r="AB5" s="81">
        <v>1.1100000000000001</v>
      </c>
      <c r="AC5" s="174">
        <v>1.0377296532228764</v>
      </c>
    </row>
    <row r="6" spans="1:34" ht="15" thickBot="1" x14ac:dyDescent="0.35">
      <c r="A6" s="63"/>
      <c r="B6" s="64"/>
      <c r="C6" s="65"/>
      <c r="D6" s="65"/>
      <c r="E6" s="66" t="s">
        <v>58</v>
      </c>
      <c r="F6" s="66" t="s">
        <v>58</v>
      </c>
      <c r="G6" s="66" t="s">
        <v>58</v>
      </c>
      <c r="H6" s="66" t="s">
        <v>58</v>
      </c>
      <c r="I6" s="66"/>
      <c r="J6" s="67"/>
      <c r="K6" s="67"/>
      <c r="L6" s="66" t="s">
        <v>59</v>
      </c>
      <c r="M6" s="68" t="s">
        <v>60</v>
      </c>
      <c r="N6" s="69" t="s">
        <v>61</v>
      </c>
      <c r="O6" s="70" t="s">
        <v>62</v>
      </c>
      <c r="P6" s="70" t="s">
        <v>63</v>
      </c>
      <c r="Q6" s="71" t="s">
        <v>64</v>
      </c>
      <c r="R6" s="72" t="s">
        <v>65</v>
      </c>
      <c r="T6" s="73" t="s">
        <v>66</v>
      </c>
      <c r="U6" s="73" t="s">
        <v>67</v>
      </c>
      <c r="V6" s="73" t="s">
        <v>68</v>
      </c>
    </row>
    <row r="7" spans="1:34" ht="15" thickTop="1" x14ac:dyDescent="0.3">
      <c r="A7" s="74">
        <v>1</v>
      </c>
      <c r="B7" s="74" t="s">
        <v>69</v>
      </c>
      <c r="C7" s="74"/>
      <c r="D7" s="74"/>
      <c r="E7" s="75">
        <v>15.9</v>
      </c>
      <c r="F7" s="76" t="s">
        <v>70</v>
      </c>
      <c r="G7" s="76">
        <v>21.742699999999999</v>
      </c>
      <c r="H7" s="77">
        <v>21.742899999999999</v>
      </c>
      <c r="I7" s="76">
        <v>0.15</v>
      </c>
      <c r="J7" s="78">
        <v>41500</v>
      </c>
      <c r="K7" s="78"/>
      <c r="L7" s="76">
        <v>81</v>
      </c>
      <c r="M7" s="74">
        <f t="shared" ref="M7:M46" si="0">L7*(5/(5-(G7-H7)))</f>
        <v>80.996760129594833</v>
      </c>
      <c r="N7" s="74">
        <f>+(M7/'[5]Calibration curves '!$B$18)*'[5]Background info'!$C$3/1000</f>
        <v>2.5004098319138273E-4</v>
      </c>
      <c r="O7" s="74">
        <v>8.3346994397127585E-3</v>
      </c>
      <c r="P7" s="74"/>
      <c r="Q7" s="79"/>
      <c r="R7" s="80"/>
    </row>
    <row r="8" spans="1:34" x14ac:dyDescent="0.3">
      <c r="A8" s="74">
        <v>2</v>
      </c>
      <c r="B8" s="74" t="s">
        <v>69</v>
      </c>
      <c r="C8" s="74"/>
      <c r="D8" s="74"/>
      <c r="E8" s="81">
        <v>16.129799999999999</v>
      </c>
      <c r="F8" s="76" t="s">
        <v>70</v>
      </c>
      <c r="G8" s="82">
        <v>21.9757</v>
      </c>
      <c r="H8" s="82">
        <v>21.975899999999999</v>
      </c>
      <c r="I8" s="76">
        <v>0.15</v>
      </c>
      <c r="J8" s="78">
        <v>41500</v>
      </c>
      <c r="K8" s="78"/>
      <c r="L8" s="82">
        <v>75</v>
      </c>
      <c r="M8" s="74">
        <f t="shared" si="0"/>
        <v>74.997000119995207</v>
      </c>
      <c r="N8" s="74">
        <f>+(M8/'[5]Calibration curves '!$B$18)*'[5]Background info'!$C$3/1000</f>
        <v>2.3151942888090992E-4</v>
      </c>
      <c r="O8" s="74">
        <v>7.7173142960303307E-3</v>
      </c>
      <c r="P8" s="74"/>
      <c r="Q8" s="79"/>
      <c r="R8" s="80"/>
      <c r="Z8" s="83" t="s">
        <v>91</v>
      </c>
      <c r="AA8" s="84"/>
      <c r="AB8" s="85">
        <v>41500</v>
      </c>
      <c r="AC8" s="84"/>
      <c r="AD8" s="84"/>
      <c r="AE8" s="84"/>
      <c r="AF8" s="84"/>
      <c r="AG8" s="86"/>
    </row>
    <row r="9" spans="1:34" x14ac:dyDescent="0.3">
      <c r="A9" s="74">
        <v>3</v>
      </c>
      <c r="B9" s="74" t="s">
        <v>71</v>
      </c>
      <c r="C9" s="74"/>
      <c r="D9" s="74"/>
      <c r="E9" s="75">
        <v>16.074000000000002</v>
      </c>
      <c r="F9" s="76" t="s">
        <v>70</v>
      </c>
      <c r="G9" s="82">
        <v>21.947299999999998</v>
      </c>
      <c r="H9" s="87">
        <v>21.947500000000002</v>
      </c>
      <c r="I9" s="76">
        <v>0.15</v>
      </c>
      <c r="J9" s="78">
        <v>41500</v>
      </c>
      <c r="K9" s="78"/>
      <c r="L9" s="82">
        <v>19983</v>
      </c>
      <c r="M9" s="74">
        <f t="shared" si="0"/>
        <v>19982.200711971509</v>
      </c>
      <c r="N9" s="74">
        <f>+(M9/'[5]Calibration curves '!$B$18)*'[5]Background info'!$C$3/1000</f>
        <v>6.1686036631029596E-2</v>
      </c>
      <c r="O9" s="74">
        <v>2.0562012210343199</v>
      </c>
      <c r="P9" s="74">
        <v>2.0481752141664482</v>
      </c>
      <c r="Q9" s="79"/>
      <c r="R9" s="88">
        <v>102.4087607083224</v>
      </c>
      <c r="AA9" s="89"/>
      <c r="AB9" s="89"/>
      <c r="AC9" s="89"/>
      <c r="AD9" s="90"/>
      <c r="AE9" s="91"/>
      <c r="AF9" s="91"/>
      <c r="AG9" s="92"/>
      <c r="AH9" s="93"/>
    </row>
    <row r="10" spans="1:34" x14ac:dyDescent="0.3">
      <c r="A10" s="74">
        <v>4</v>
      </c>
      <c r="B10" s="74" t="s">
        <v>71</v>
      </c>
      <c r="C10" s="74"/>
      <c r="D10" s="74"/>
      <c r="E10" s="75">
        <v>15.986499999999999</v>
      </c>
      <c r="F10" s="76" t="s">
        <v>70</v>
      </c>
      <c r="G10" s="87">
        <v>21.8627</v>
      </c>
      <c r="H10" s="87">
        <v>21.8627</v>
      </c>
      <c r="I10" s="76">
        <v>0.15</v>
      </c>
      <c r="J10" s="78">
        <v>41500</v>
      </c>
      <c r="K10" s="78"/>
      <c r="L10" s="82">
        <v>20359</v>
      </c>
      <c r="M10" s="74">
        <f t="shared" si="0"/>
        <v>20359</v>
      </c>
      <c r="N10" s="74">
        <f>+(M10/'[5]Calibration curves '!$B$18)*'[5]Background info'!$C$3/1000</f>
        <v>6.2849234569980636E-2</v>
      </c>
      <c r="O10" s="74">
        <v>2.0949744856660213</v>
      </c>
      <c r="P10" s="74">
        <v>2.0869484787981496</v>
      </c>
      <c r="Q10" s="79"/>
      <c r="R10" s="88">
        <v>104.34742393990749</v>
      </c>
      <c r="Z10" s="94" t="s">
        <v>92</v>
      </c>
      <c r="AA10" s="95" t="s">
        <v>93</v>
      </c>
      <c r="AB10" s="95" t="s">
        <v>94</v>
      </c>
      <c r="AC10" s="96" t="s">
        <v>95</v>
      </c>
      <c r="AD10" s="90"/>
      <c r="AE10" s="97" t="s">
        <v>96</v>
      </c>
      <c r="AF10" s="98" t="s">
        <v>97</v>
      </c>
      <c r="AG10" s="98" t="s">
        <v>98</v>
      </c>
      <c r="AH10" s="96" t="s">
        <v>99</v>
      </c>
    </row>
    <row r="11" spans="1:34" x14ac:dyDescent="0.3">
      <c r="A11" s="74">
        <v>5</v>
      </c>
      <c r="B11" s="74" t="s">
        <v>72</v>
      </c>
      <c r="C11" s="74"/>
      <c r="D11" s="74"/>
      <c r="E11" s="81">
        <v>15.994300000000001</v>
      </c>
      <c r="F11" s="76">
        <v>2.5100000000000001E-2</v>
      </c>
      <c r="G11" s="82">
        <v>21.867100000000001</v>
      </c>
      <c r="H11" s="87">
        <v>21.866299999999999</v>
      </c>
      <c r="I11" s="76">
        <v>0.15</v>
      </c>
      <c r="J11" s="78">
        <v>41500</v>
      </c>
      <c r="K11" s="78"/>
      <c r="L11" s="82">
        <v>30793</v>
      </c>
      <c r="M11" s="74">
        <f t="shared" si="0"/>
        <v>30797.927668426961</v>
      </c>
      <c r="N11" s="74">
        <f>+(M11/'[5]Calibration curves '!$B$18)*'[5]Background info'!$C$3/1000</f>
        <v>9.5074717830063507E-2</v>
      </c>
      <c r="O11" s="74">
        <v>3.169157261002117</v>
      </c>
      <c r="P11" s="74">
        <v>3.1611312541342453</v>
      </c>
      <c r="Q11" s="79">
        <v>125.94148422845599</v>
      </c>
      <c r="R11" s="88"/>
      <c r="T11" s="16">
        <f>Q11*1.063</f>
        <v>133.8757977348487</v>
      </c>
      <c r="U11" s="16">
        <f>AVERAGE(T11:T12)</f>
        <v>134.02087029373945</v>
      </c>
      <c r="V11" s="99" t="s">
        <v>73</v>
      </c>
      <c r="W11" s="100" t="s">
        <v>72</v>
      </c>
      <c r="Z11" s="101"/>
      <c r="AA11" s="102" t="s">
        <v>100</v>
      </c>
      <c r="AB11" s="102" t="s">
        <v>100</v>
      </c>
      <c r="AC11" s="102"/>
      <c r="AD11" s="90"/>
      <c r="AE11" s="103"/>
      <c r="AF11" s="104"/>
      <c r="AG11" s="104" t="s">
        <v>100</v>
      </c>
      <c r="AH11" s="102" t="s">
        <v>101</v>
      </c>
    </row>
    <row r="12" spans="1:34" x14ac:dyDescent="0.3">
      <c r="A12" s="74">
        <v>6</v>
      </c>
      <c r="B12" s="74" t="s">
        <v>72</v>
      </c>
      <c r="C12" s="74"/>
      <c r="D12" s="74"/>
      <c r="E12" s="81">
        <v>16.028700000000001</v>
      </c>
      <c r="F12" s="82">
        <v>2.7799999999999998E-2</v>
      </c>
      <c r="G12" s="87">
        <v>21.777000000000001</v>
      </c>
      <c r="H12" s="82">
        <v>21.7758</v>
      </c>
      <c r="I12" s="76">
        <v>0.15</v>
      </c>
      <c r="J12" s="78">
        <v>41500</v>
      </c>
      <c r="K12" s="78"/>
      <c r="L12" s="82">
        <v>34168</v>
      </c>
      <c r="M12" s="74">
        <f t="shared" si="0"/>
        <v>34176.202288549255</v>
      </c>
      <c r="N12" s="74">
        <f>+(M12/'[5]Calibration curves '!$B$18)*'[5]Background info'!$C$3/1000</f>
        <v>0.10550361777809035</v>
      </c>
      <c r="O12" s="74">
        <v>3.5167872592696781</v>
      </c>
      <c r="P12" s="74">
        <v>3.5087612524018064</v>
      </c>
      <c r="Q12" s="79">
        <v>126.21443353963333</v>
      </c>
      <c r="R12" s="105"/>
      <c r="S12" s="30"/>
      <c r="T12" s="16">
        <f>Q12*1.063</f>
        <v>134.16594285263022</v>
      </c>
      <c r="V12" s="30"/>
      <c r="W12" s="30"/>
      <c r="X12" s="30"/>
      <c r="Y12" s="30"/>
      <c r="Z12" s="106" t="s">
        <v>102</v>
      </c>
      <c r="AA12" s="107">
        <v>50</v>
      </c>
      <c r="AB12" s="90">
        <v>43</v>
      </c>
      <c r="AC12" s="108">
        <v>47</v>
      </c>
      <c r="AD12" s="90"/>
      <c r="AE12" s="109" t="s">
        <v>103</v>
      </c>
      <c r="AF12" s="107">
        <v>5</v>
      </c>
      <c r="AG12" s="110">
        <v>1603</v>
      </c>
      <c r="AH12" s="111"/>
    </row>
    <row r="13" spans="1:34" x14ac:dyDescent="0.3">
      <c r="A13" s="74">
        <v>7</v>
      </c>
      <c r="B13" s="74" t="s">
        <v>203</v>
      </c>
      <c r="C13" s="74" t="s">
        <v>17</v>
      </c>
      <c r="D13" s="112">
        <v>41115</v>
      </c>
      <c r="E13" s="81">
        <v>16.105799999999999</v>
      </c>
      <c r="F13" s="87">
        <v>3.27E-2</v>
      </c>
      <c r="G13" s="82">
        <v>21.741599999999998</v>
      </c>
      <c r="H13" s="87">
        <v>21.738900000000001</v>
      </c>
      <c r="I13" s="76">
        <v>0.15</v>
      </c>
      <c r="J13" s="78">
        <v>41500</v>
      </c>
      <c r="K13" s="78"/>
      <c r="L13" s="82">
        <v>16884</v>
      </c>
      <c r="M13" s="74">
        <f t="shared" si="0"/>
        <v>16893.12228603445</v>
      </c>
      <c r="N13" s="74">
        <f>+(M13/'[5]Calibration curves '!$B$18)*'[5]Background info'!$C$3/1000</f>
        <v>5.2149899561586846E-2</v>
      </c>
      <c r="O13" s="74">
        <v>1.7383299853862282</v>
      </c>
      <c r="P13" s="74">
        <v>1.7303039785183567</v>
      </c>
      <c r="Q13" s="79">
        <v>52.914494755913047</v>
      </c>
      <c r="R13" s="80"/>
      <c r="V13" s="113"/>
      <c r="Z13" s="106" t="s">
        <v>102</v>
      </c>
      <c r="AA13" s="90">
        <v>50</v>
      </c>
      <c r="AB13" s="90">
        <v>43</v>
      </c>
      <c r="AC13" s="108">
        <v>47</v>
      </c>
      <c r="AD13" s="90"/>
      <c r="AE13" s="114" t="s">
        <v>103</v>
      </c>
      <c r="AF13" s="90">
        <v>5</v>
      </c>
      <c r="AG13" s="115">
        <v>1559</v>
      </c>
      <c r="AH13" s="108"/>
    </row>
    <row r="14" spans="1:34" x14ac:dyDescent="0.3">
      <c r="A14" s="74">
        <v>8</v>
      </c>
      <c r="B14" s="74" t="s">
        <v>204</v>
      </c>
      <c r="C14" s="74" t="s">
        <v>17</v>
      </c>
      <c r="D14" s="112">
        <v>41115</v>
      </c>
      <c r="E14" s="81">
        <v>15.9953</v>
      </c>
      <c r="F14" s="87">
        <v>3.0599999999999999E-2</v>
      </c>
      <c r="G14" s="82">
        <v>21.6449</v>
      </c>
      <c r="H14" s="87">
        <v>21.6448</v>
      </c>
      <c r="I14" s="76">
        <v>0.15</v>
      </c>
      <c r="J14" s="78">
        <v>41500</v>
      </c>
      <c r="K14" s="78" t="s">
        <v>222</v>
      </c>
      <c r="L14" s="82">
        <v>15961</v>
      </c>
      <c r="M14" s="74">
        <f t="shared" si="0"/>
        <v>15961.319226384527</v>
      </c>
      <c r="N14" s="74">
        <f>+(M14/'[5]Calibration curves '!$B$18)*'[5]Background info'!$C$3/1000</f>
        <v>4.9273377675985219E-2</v>
      </c>
      <c r="O14" s="74">
        <v>1.6424459225328407</v>
      </c>
      <c r="P14" s="74">
        <v>1.6344199156649692</v>
      </c>
      <c r="Q14" s="79">
        <v>53.412415544606837</v>
      </c>
      <c r="R14" s="80"/>
      <c r="Z14" s="116">
        <v>0</v>
      </c>
      <c r="AA14" s="90">
        <f>AVERAGE(AA12:AA13)</f>
        <v>50</v>
      </c>
      <c r="AB14" s="90">
        <f>AVERAGE(AB12:AB13)</f>
        <v>43</v>
      </c>
      <c r="AC14" s="117">
        <f>AVERAGE(AC12:AC13)</f>
        <v>47</v>
      </c>
      <c r="AD14" s="90"/>
      <c r="AE14" s="114" t="s">
        <v>103</v>
      </c>
      <c r="AF14" s="90">
        <v>5</v>
      </c>
      <c r="AG14" s="115">
        <v>1637</v>
      </c>
      <c r="AH14" s="108"/>
    </row>
    <row r="15" spans="1:34" x14ac:dyDescent="0.3">
      <c r="A15" s="74">
        <v>9</v>
      </c>
      <c r="B15" s="74" t="s">
        <v>205</v>
      </c>
      <c r="C15" s="74" t="s">
        <v>17</v>
      </c>
      <c r="D15" s="112">
        <v>41115</v>
      </c>
      <c r="E15" s="75">
        <v>16.154</v>
      </c>
      <c r="F15" s="82">
        <v>3.1399999999999997E-2</v>
      </c>
      <c r="G15" s="82">
        <v>21.842600000000001</v>
      </c>
      <c r="H15" s="87">
        <v>21.841000000000001</v>
      </c>
      <c r="I15" s="76">
        <v>0.15</v>
      </c>
      <c r="J15" s="78">
        <v>41500</v>
      </c>
      <c r="K15" s="78"/>
      <c r="L15" s="82">
        <v>18123</v>
      </c>
      <c r="M15" s="74">
        <f t="shared" si="0"/>
        <v>18128.801216389242</v>
      </c>
      <c r="N15" s="74">
        <f>+(M15/'[5]Calibration curves '!$B$18)*'[5]Background info'!$C$3/1000</f>
        <v>5.596450120936184E-2</v>
      </c>
      <c r="O15" s="74">
        <v>1.8654833736453946</v>
      </c>
      <c r="P15" s="74">
        <v>1.8574573667775232</v>
      </c>
      <c r="Q15" s="79">
        <v>59.154693209475262</v>
      </c>
      <c r="R15" s="80"/>
      <c r="T15" s="118"/>
      <c r="U15" s="118"/>
      <c r="V15" s="119"/>
      <c r="X15" s="120"/>
      <c r="Z15" s="116">
        <v>0.5</v>
      </c>
      <c r="AA15" s="115">
        <v>191</v>
      </c>
      <c r="AB15" s="90">
        <v>178</v>
      </c>
      <c r="AC15" s="108">
        <v>187</v>
      </c>
      <c r="AD15" s="90"/>
      <c r="AE15" s="114" t="s">
        <v>103</v>
      </c>
      <c r="AF15" s="90">
        <v>5</v>
      </c>
      <c r="AG15" s="115">
        <v>1678</v>
      </c>
      <c r="AH15" s="108">
        <v>1678</v>
      </c>
    </row>
    <row r="16" spans="1:34" x14ac:dyDescent="0.3">
      <c r="A16" s="74">
        <v>10</v>
      </c>
      <c r="B16" s="74" t="s">
        <v>206</v>
      </c>
      <c r="C16" s="74" t="s">
        <v>17</v>
      </c>
      <c r="D16" s="112">
        <v>41115</v>
      </c>
      <c r="E16" s="75">
        <v>16.003299999999999</v>
      </c>
      <c r="F16" s="82">
        <v>3.0499999999999999E-2</v>
      </c>
      <c r="G16" s="82">
        <v>21.706399999999999</v>
      </c>
      <c r="H16" s="82">
        <v>21.704499999999999</v>
      </c>
      <c r="I16" s="76">
        <v>0.15</v>
      </c>
      <c r="J16" s="78">
        <v>41500</v>
      </c>
      <c r="K16" s="78"/>
      <c r="L16" s="82">
        <v>17428</v>
      </c>
      <c r="M16" s="74">
        <f t="shared" si="0"/>
        <v>17434.625157559873</v>
      </c>
      <c r="N16" s="74">
        <f>+(M16/'[5]Calibration curves '!$B$18)*'[5]Background info'!$C$3/1000</f>
        <v>5.3821545565458331E-2</v>
      </c>
      <c r="O16" s="74">
        <v>1.794051518848611</v>
      </c>
      <c r="P16" s="74">
        <v>1.7860255119807396</v>
      </c>
      <c r="Q16" s="79">
        <v>58.558213507565235</v>
      </c>
      <c r="R16" s="80"/>
      <c r="T16" s="118"/>
      <c r="U16" s="118"/>
      <c r="V16" s="119"/>
      <c r="W16" s="120"/>
      <c r="X16" s="120"/>
      <c r="Z16" s="116">
        <v>1</v>
      </c>
      <c r="AA16" s="115">
        <v>337</v>
      </c>
      <c r="AB16" s="90">
        <v>335</v>
      </c>
      <c r="AC16" s="108">
        <v>349</v>
      </c>
      <c r="AD16" s="90"/>
      <c r="AE16" s="114" t="s">
        <v>103</v>
      </c>
      <c r="AF16" s="90">
        <v>5</v>
      </c>
      <c r="AG16" s="115">
        <v>1653</v>
      </c>
      <c r="AH16" s="108">
        <v>1632</v>
      </c>
    </row>
    <row r="17" spans="1:34" x14ac:dyDescent="0.3">
      <c r="A17" s="74">
        <v>11</v>
      </c>
      <c r="B17" s="74" t="s">
        <v>207</v>
      </c>
      <c r="C17" s="74" t="s">
        <v>17</v>
      </c>
      <c r="D17" s="112">
        <v>41115</v>
      </c>
      <c r="E17" s="75">
        <v>16.0139</v>
      </c>
      <c r="F17" s="87">
        <v>3.2800000000000003E-2</v>
      </c>
      <c r="G17" s="82">
        <v>21.898800000000001</v>
      </c>
      <c r="H17" s="82">
        <v>21.896799999999999</v>
      </c>
      <c r="I17" s="76">
        <v>0.15</v>
      </c>
      <c r="J17" s="78">
        <v>41500</v>
      </c>
      <c r="K17" s="78"/>
      <c r="L17" s="121">
        <v>15847</v>
      </c>
      <c r="M17" s="74">
        <f t="shared" si="0"/>
        <v>15853.34133653462</v>
      </c>
      <c r="N17" s="74">
        <f>+(M17/'[5]Calibration curves '!$B$18)*'[5]Background info'!$C$3/1000</f>
        <v>4.8940044617998661E-2</v>
      </c>
      <c r="O17" s="74">
        <v>1.6313348205999554</v>
      </c>
      <c r="P17" s="74">
        <v>1.6233088137320839</v>
      </c>
      <c r="Q17" s="79">
        <v>49.4911223698806</v>
      </c>
      <c r="R17" s="122"/>
      <c r="S17" s="86"/>
      <c r="T17" s="118"/>
      <c r="U17" s="118"/>
      <c r="V17" s="26"/>
      <c r="W17" s="22"/>
      <c r="X17" s="22"/>
      <c r="Y17" s="86"/>
      <c r="Z17" s="116">
        <v>2</v>
      </c>
      <c r="AA17" s="115">
        <v>688</v>
      </c>
      <c r="AB17" s="90">
        <v>693</v>
      </c>
      <c r="AC17" s="108">
        <v>679</v>
      </c>
      <c r="AD17" s="90"/>
      <c r="AE17" s="114" t="s">
        <v>103</v>
      </c>
      <c r="AF17" s="90">
        <v>5</v>
      </c>
      <c r="AG17" s="115">
        <v>1636</v>
      </c>
      <c r="AH17" s="108">
        <v>1577</v>
      </c>
    </row>
    <row r="18" spans="1:34" x14ac:dyDescent="0.3">
      <c r="A18" s="74">
        <v>12</v>
      </c>
      <c r="B18" s="74" t="s">
        <v>208</v>
      </c>
      <c r="C18" s="74" t="s">
        <v>17</v>
      </c>
      <c r="D18" s="112">
        <v>41115</v>
      </c>
      <c r="E18" s="75">
        <v>16.010100000000001</v>
      </c>
      <c r="F18" s="87">
        <v>3.3599999999999998E-2</v>
      </c>
      <c r="G18" s="77">
        <v>21.897500000000001</v>
      </c>
      <c r="H18" s="82">
        <v>21.895099999999999</v>
      </c>
      <c r="I18" s="76">
        <v>0.15</v>
      </c>
      <c r="J18" s="78">
        <v>41500</v>
      </c>
      <c r="K18" s="78"/>
      <c r="L18" s="121">
        <v>15813</v>
      </c>
      <c r="M18" s="74">
        <f t="shared" si="0"/>
        <v>15820.593885064838</v>
      </c>
      <c r="N18" s="74">
        <f>+(M18/'[5]Calibration curves '!$B$18)*'[5]Background info'!$C$3/1000</f>
        <v>4.8838951624286135E-2</v>
      </c>
      <c r="O18" s="74">
        <v>1.6279650541428712</v>
      </c>
      <c r="P18" s="74">
        <v>1.6199390472749997</v>
      </c>
      <c r="Q18" s="79">
        <v>48.212471645089281</v>
      </c>
      <c r="R18" s="123"/>
      <c r="S18" s="86"/>
      <c r="T18" s="118"/>
      <c r="U18" s="118"/>
      <c r="V18" s="119" t="s">
        <v>162</v>
      </c>
      <c r="W18" s="22" t="s">
        <v>223</v>
      </c>
      <c r="X18" s="22"/>
      <c r="Y18" s="86"/>
      <c r="Z18" s="116">
        <v>5</v>
      </c>
      <c r="AA18" s="115">
        <v>1663</v>
      </c>
      <c r="AB18" s="90">
        <v>1565</v>
      </c>
      <c r="AC18" s="108">
        <v>3073</v>
      </c>
      <c r="AD18" s="90"/>
      <c r="AE18" s="114" t="s">
        <v>104</v>
      </c>
      <c r="AF18" s="90">
        <v>50</v>
      </c>
      <c r="AG18" s="115">
        <v>16326</v>
      </c>
      <c r="AH18" s="108"/>
    </row>
    <row r="19" spans="1:34" x14ac:dyDescent="0.3">
      <c r="A19" s="74">
        <v>13</v>
      </c>
      <c r="B19" s="74" t="s">
        <v>208</v>
      </c>
      <c r="C19" s="74" t="s">
        <v>17</v>
      </c>
      <c r="D19" s="112">
        <v>41115</v>
      </c>
      <c r="E19" s="81">
        <v>16.0108</v>
      </c>
      <c r="F19" s="82">
        <v>3.1600000000000003E-2</v>
      </c>
      <c r="G19" s="82">
        <v>21.895099999999999</v>
      </c>
      <c r="H19" s="77">
        <v>21.890599999999999</v>
      </c>
      <c r="I19" s="76">
        <v>0.15</v>
      </c>
      <c r="J19" s="78">
        <v>41500</v>
      </c>
      <c r="K19" s="78"/>
      <c r="L19" s="121">
        <v>14887</v>
      </c>
      <c r="M19" s="74">
        <f t="shared" si="0"/>
        <v>14900.410369332398</v>
      </c>
      <c r="N19" s="74">
        <f>+(M19/'[5]Calibration curves '!$B$18)*'[5]Background info'!$C$3/1000</f>
        <v>4.5998299842386355E-2</v>
      </c>
      <c r="O19" s="74">
        <v>1.5332766614128785</v>
      </c>
      <c r="P19" s="74">
        <v>1.5252506545450071</v>
      </c>
      <c r="Q19" s="79">
        <v>48.267425776740723</v>
      </c>
      <c r="R19" s="80"/>
      <c r="T19" s="118"/>
      <c r="U19" s="118"/>
      <c r="V19" s="119" t="s">
        <v>162</v>
      </c>
      <c r="W19" s="120"/>
      <c r="X19" s="120"/>
      <c r="Z19" s="116">
        <v>10</v>
      </c>
      <c r="AA19" s="115">
        <v>3235</v>
      </c>
      <c r="AB19" s="90">
        <v>3317</v>
      </c>
      <c r="AC19" s="108"/>
      <c r="AD19" s="90"/>
      <c r="AE19" s="114" t="s">
        <v>104</v>
      </c>
      <c r="AF19" s="90">
        <v>50</v>
      </c>
      <c r="AG19" s="115">
        <v>16335</v>
      </c>
      <c r="AH19" s="108"/>
    </row>
    <row r="20" spans="1:34" x14ac:dyDescent="0.3">
      <c r="A20" s="74">
        <v>14</v>
      </c>
      <c r="B20" s="74" t="s">
        <v>209</v>
      </c>
      <c r="C20" s="74" t="s">
        <v>17</v>
      </c>
      <c r="D20" s="112">
        <v>41115</v>
      </c>
      <c r="E20" s="75">
        <v>15.998799999999999</v>
      </c>
      <c r="F20" s="82">
        <v>3.1300000000000001E-2</v>
      </c>
      <c r="G20" s="82">
        <v>21.8797</v>
      </c>
      <c r="H20" s="77">
        <v>21.873999999999999</v>
      </c>
      <c r="I20" s="76">
        <v>0.15</v>
      </c>
      <c r="J20" s="78">
        <v>41500</v>
      </c>
      <c r="K20" s="78"/>
      <c r="L20" s="121">
        <v>14182</v>
      </c>
      <c r="M20" s="74">
        <f t="shared" si="0"/>
        <v>14198.18593196244</v>
      </c>
      <c r="N20" s="74">
        <f>+(M20/'[5]Calibration curves '!$B$18)*'[5]Background info'!$C$3/1000</f>
        <v>4.3830498457984507E-2</v>
      </c>
      <c r="O20" s="74">
        <v>1.4610166152661503</v>
      </c>
      <c r="P20" s="74">
        <v>1.4529906083982789</v>
      </c>
      <c r="Q20" s="79">
        <v>46.421425188443415</v>
      </c>
      <c r="R20" s="80"/>
      <c r="T20" s="118"/>
      <c r="U20" s="118"/>
      <c r="V20" s="124"/>
      <c r="W20" s="120"/>
      <c r="X20" s="120"/>
      <c r="Z20" s="116">
        <v>50</v>
      </c>
      <c r="AA20" s="115">
        <v>16705</v>
      </c>
      <c r="AB20" s="90">
        <v>16450</v>
      </c>
      <c r="AC20" s="108">
        <v>15008</v>
      </c>
      <c r="AD20" s="90"/>
      <c r="AE20" s="114" t="s">
        <v>104</v>
      </c>
      <c r="AF20" s="90">
        <v>50</v>
      </c>
      <c r="AG20" s="115">
        <v>17095</v>
      </c>
      <c r="AH20" s="108"/>
    </row>
    <row r="21" spans="1:34" x14ac:dyDescent="0.3">
      <c r="A21" s="74">
        <v>15</v>
      </c>
      <c r="B21" s="74" t="s">
        <v>210</v>
      </c>
      <c r="C21" s="74" t="s">
        <v>17</v>
      </c>
      <c r="D21" s="125">
        <v>41080</v>
      </c>
      <c r="E21" s="81">
        <v>16.002500000000001</v>
      </c>
      <c r="F21" s="82">
        <v>3.8399999999999997E-2</v>
      </c>
      <c r="G21" s="87">
        <v>21.889500000000002</v>
      </c>
      <c r="H21" s="77">
        <v>21.884699999999999</v>
      </c>
      <c r="I21" s="76">
        <v>0.15</v>
      </c>
      <c r="J21" s="78">
        <v>41500</v>
      </c>
      <c r="K21" s="78"/>
      <c r="L21" s="121">
        <v>16772</v>
      </c>
      <c r="M21" s="74">
        <f t="shared" si="0"/>
        <v>16788.116591928265</v>
      </c>
      <c r="N21" s="74">
        <f>+(M21/'[5]Calibration curves '!$B$18)*'[5]Background info'!$C$3/1000</f>
        <v>5.182574181807964E-2</v>
      </c>
      <c r="O21" s="74">
        <v>1.7275247272693215</v>
      </c>
      <c r="P21" s="74">
        <v>1.71949872040145</v>
      </c>
      <c r="Q21" s="79">
        <v>44.77861251045443</v>
      </c>
      <c r="R21" s="80"/>
      <c r="T21" s="118"/>
      <c r="U21" s="118"/>
      <c r="V21" s="119"/>
      <c r="W21" s="120"/>
      <c r="X21" s="120"/>
      <c r="Z21" s="116">
        <v>200</v>
      </c>
      <c r="AA21" s="126"/>
      <c r="AB21" s="127"/>
      <c r="AC21" s="108">
        <v>77803</v>
      </c>
      <c r="AD21" s="90"/>
      <c r="AE21" s="114" t="s">
        <v>104</v>
      </c>
      <c r="AF21" s="127">
        <v>50</v>
      </c>
      <c r="AG21" s="128">
        <v>16792</v>
      </c>
      <c r="AH21" s="129"/>
    </row>
    <row r="22" spans="1:34" x14ac:dyDescent="0.3">
      <c r="A22" s="74">
        <v>16</v>
      </c>
      <c r="B22" s="74" t="s">
        <v>211</v>
      </c>
      <c r="C22" s="74" t="s">
        <v>17</v>
      </c>
      <c r="D22" s="125">
        <v>41080</v>
      </c>
      <c r="E22" s="130">
        <v>16.008700000000001</v>
      </c>
      <c r="F22" s="82">
        <v>3.1199999999999999E-2</v>
      </c>
      <c r="G22" s="82">
        <v>21.892800000000001</v>
      </c>
      <c r="H22" s="77">
        <v>21.890699999999999</v>
      </c>
      <c r="I22" s="76">
        <v>0.15</v>
      </c>
      <c r="J22" s="78">
        <v>41500</v>
      </c>
      <c r="K22" s="78"/>
      <c r="L22" s="121">
        <v>13157</v>
      </c>
      <c r="M22" s="74">
        <f t="shared" si="0"/>
        <v>13162.528261869991</v>
      </c>
      <c r="N22" s="74">
        <f>+(M22/'[5]Calibration curves '!$B$18)*'[5]Background info'!$C$3/1000</f>
        <v>4.0633372280773447E-2</v>
      </c>
      <c r="O22" s="74">
        <v>1.3544457426924483</v>
      </c>
      <c r="P22" s="74">
        <v>1.3464197358245769</v>
      </c>
      <c r="Q22" s="79">
        <v>43.154478712326181</v>
      </c>
      <c r="R22" s="80"/>
      <c r="T22" s="118"/>
      <c r="U22" s="118"/>
      <c r="V22" s="119"/>
      <c r="W22" s="120"/>
      <c r="X22" s="120"/>
      <c r="Z22" s="131">
        <v>500</v>
      </c>
      <c r="AA22" s="132"/>
      <c r="AB22" s="132"/>
      <c r="AC22" s="133">
        <v>312462</v>
      </c>
      <c r="AD22" s="134"/>
      <c r="AE22" s="114" t="s">
        <v>104</v>
      </c>
      <c r="AF22" s="127">
        <v>50</v>
      </c>
      <c r="AG22" s="128">
        <v>16056</v>
      </c>
      <c r="AH22" s="129"/>
    </row>
    <row r="23" spans="1:34" x14ac:dyDescent="0.3">
      <c r="A23" s="74">
        <v>17</v>
      </c>
      <c r="B23" s="74" t="s">
        <v>212</v>
      </c>
      <c r="C23" s="74" t="s">
        <v>17</v>
      </c>
      <c r="D23" s="125">
        <v>41080</v>
      </c>
      <c r="E23" s="75">
        <v>16.032599999999999</v>
      </c>
      <c r="F23" s="87">
        <v>3.5099999999999999E-2</v>
      </c>
      <c r="G23" s="87">
        <v>21.910900000000002</v>
      </c>
      <c r="H23" s="77">
        <v>21.908100000000001</v>
      </c>
      <c r="I23" s="76">
        <v>0.15</v>
      </c>
      <c r="J23" s="78">
        <v>41500</v>
      </c>
      <c r="K23" s="78"/>
      <c r="L23" s="121">
        <v>13838</v>
      </c>
      <c r="M23" s="74">
        <f t="shared" si="0"/>
        <v>13845.753622028336</v>
      </c>
      <c r="N23" s="74">
        <f>+(M23/'[5]Calibration curves '!$B$18)*'[5]Background info'!$C$3/1000</f>
        <v>4.2742522579155062E-2</v>
      </c>
      <c r="O23" s="74">
        <v>1.4247507526385021</v>
      </c>
      <c r="P23" s="74">
        <v>1.4167247457706307</v>
      </c>
      <c r="Q23" s="79">
        <v>40.362528369533635</v>
      </c>
      <c r="R23" s="80"/>
      <c r="T23" s="118"/>
      <c r="U23" s="118"/>
      <c r="V23" s="124"/>
      <c r="W23" s="120"/>
      <c r="X23" s="120"/>
      <c r="Z23" s="16"/>
      <c r="AA23" s="16"/>
      <c r="AB23" s="16"/>
      <c r="AC23" s="16"/>
      <c r="AD23" s="16"/>
      <c r="AE23" s="135" t="s">
        <v>104</v>
      </c>
      <c r="AF23" s="136">
        <v>50</v>
      </c>
      <c r="AG23" s="137">
        <v>16313</v>
      </c>
      <c r="AH23" s="138"/>
    </row>
    <row r="24" spans="1:34" x14ac:dyDescent="0.3">
      <c r="A24" s="74">
        <v>18</v>
      </c>
      <c r="B24" s="74" t="s">
        <v>213</v>
      </c>
      <c r="C24" s="139" t="s">
        <v>27</v>
      </c>
      <c r="D24" s="125">
        <v>41149</v>
      </c>
      <c r="E24" s="82">
        <v>16.034400000000002</v>
      </c>
      <c r="F24" s="82">
        <v>3.0200000000000001E-2</v>
      </c>
      <c r="G24" s="82">
        <v>21.909500000000001</v>
      </c>
      <c r="H24" s="77">
        <v>21.9071</v>
      </c>
      <c r="I24" s="76">
        <v>0.15</v>
      </c>
      <c r="J24" s="78">
        <v>41500</v>
      </c>
      <c r="K24" s="78"/>
      <c r="L24" s="121">
        <v>21330</v>
      </c>
      <c r="M24" s="74">
        <f t="shared" si="0"/>
        <v>21340.243316792068</v>
      </c>
      <c r="N24" s="74">
        <f>+(M24/'[5]Calibration curves '!$B$18)*'[5]Background info'!$C$3/1000</f>
        <v>6.5878380961615315E-2</v>
      </c>
      <c r="O24" s="74">
        <v>2.1959460320538438</v>
      </c>
      <c r="P24" s="74">
        <v>2.1879200251859721</v>
      </c>
      <c r="Q24" s="79">
        <v>72.447682953177875</v>
      </c>
      <c r="R24" s="80"/>
      <c r="T24" s="118"/>
      <c r="U24" s="118"/>
      <c r="V24" s="140"/>
      <c r="W24" s="120"/>
      <c r="X24" s="120"/>
      <c r="Z24" s="1" t="s">
        <v>105</v>
      </c>
      <c r="AA24" s="16"/>
      <c r="AB24" s="16"/>
      <c r="AC24" s="16"/>
      <c r="AD24" s="118"/>
      <c r="AE24" s="118"/>
      <c r="AF24" s="118"/>
      <c r="AG24" s="22"/>
      <c r="AH24" s="22"/>
    </row>
    <row r="25" spans="1:34" x14ac:dyDescent="0.3">
      <c r="A25" s="74">
        <v>19</v>
      </c>
      <c r="B25" s="74" t="s">
        <v>214</v>
      </c>
      <c r="C25" s="139" t="s">
        <v>27</v>
      </c>
      <c r="D25" s="125">
        <v>41149</v>
      </c>
      <c r="E25" s="87">
        <v>16.055399999999999</v>
      </c>
      <c r="F25" s="82">
        <v>3.1099999999999999E-2</v>
      </c>
      <c r="G25" s="82">
        <v>21.933199999999999</v>
      </c>
      <c r="H25" s="77">
        <v>21.9297</v>
      </c>
      <c r="I25" s="76">
        <v>0.15</v>
      </c>
      <c r="J25" s="78">
        <v>41500</v>
      </c>
      <c r="K25" s="78"/>
      <c r="L25" s="121">
        <v>18507</v>
      </c>
      <c r="M25" s="74">
        <f t="shared" si="0"/>
        <v>18519.963974782346</v>
      </c>
      <c r="N25" s="74">
        <f>+(M25/'[5]Calibration curves '!$B$18)*'[5]Background info'!$C$3/1000</f>
        <v>5.7172039887945711E-2</v>
      </c>
      <c r="O25" s="74">
        <v>1.9057346629315239</v>
      </c>
      <c r="P25" s="74">
        <v>1.8977086560636525</v>
      </c>
      <c r="Q25" s="79">
        <v>61.019570934522591</v>
      </c>
      <c r="R25" s="80"/>
      <c r="T25" s="118"/>
      <c r="U25" s="118"/>
      <c r="V25" s="120"/>
      <c r="W25" s="120"/>
      <c r="X25" s="120"/>
      <c r="Z25" s="141" t="s">
        <v>106</v>
      </c>
      <c r="AA25" s="142">
        <v>333.65195524618241</v>
      </c>
      <c r="AB25" s="142">
        <v>328.75370822551838</v>
      </c>
      <c r="AC25" s="142">
        <v>606.13841280885435</v>
      </c>
      <c r="AD25" s="106"/>
      <c r="AE25" s="143" t="s">
        <v>107</v>
      </c>
      <c r="AF25" s="120"/>
      <c r="AG25" s="22"/>
      <c r="AH25" s="120"/>
    </row>
    <row r="26" spans="1:34" x14ac:dyDescent="0.3">
      <c r="A26" s="74">
        <v>20</v>
      </c>
      <c r="B26" s="74" t="s">
        <v>215</v>
      </c>
      <c r="C26" s="139" t="s">
        <v>27</v>
      </c>
      <c r="D26" s="125">
        <v>41149</v>
      </c>
      <c r="E26" s="82">
        <v>15.904199999999999</v>
      </c>
      <c r="F26" s="82">
        <v>3.2099999999999997E-2</v>
      </c>
      <c r="G26" s="82">
        <v>21.784099999999999</v>
      </c>
      <c r="H26" s="77">
        <v>21.782299999999999</v>
      </c>
      <c r="I26" s="76">
        <v>0.15</v>
      </c>
      <c r="J26" s="78">
        <v>41500</v>
      </c>
      <c r="K26" s="78"/>
      <c r="L26" s="121">
        <v>24076</v>
      </c>
      <c r="M26" s="74">
        <f t="shared" si="0"/>
        <v>24084.67048137329</v>
      </c>
      <c r="N26" s="74">
        <f>+(M26/'[5]Calibration curves '!$B$18)*'[5]Background info'!$C$3/1000</f>
        <v>7.4350562631981865E-2</v>
      </c>
      <c r="O26" s="74">
        <v>2.4783520877327287</v>
      </c>
      <c r="P26" s="74">
        <v>2.4703260808648571</v>
      </c>
      <c r="Q26" s="79">
        <v>76.957198780836677</v>
      </c>
      <c r="R26" s="80"/>
      <c r="T26" s="118"/>
      <c r="U26" s="118"/>
      <c r="V26" s="120"/>
      <c r="W26" s="120"/>
      <c r="X26" s="120"/>
      <c r="Z26" s="144" t="s">
        <v>108</v>
      </c>
      <c r="AA26" s="145">
        <v>50</v>
      </c>
      <c r="AB26" s="145">
        <v>43</v>
      </c>
      <c r="AC26" s="145">
        <v>47</v>
      </c>
      <c r="AD26" s="106"/>
      <c r="AE26" s="115" t="s">
        <v>225</v>
      </c>
      <c r="AF26" s="120"/>
      <c r="AG26" s="22"/>
      <c r="AH26" s="120"/>
    </row>
    <row r="27" spans="1:34" x14ac:dyDescent="0.3">
      <c r="A27" s="74">
        <v>21</v>
      </c>
      <c r="B27" s="74" t="s">
        <v>216</v>
      </c>
      <c r="C27" s="139" t="s">
        <v>27</v>
      </c>
      <c r="D27" s="125">
        <v>41149</v>
      </c>
      <c r="E27" s="82">
        <v>15.995799999999999</v>
      </c>
      <c r="F27" s="146">
        <v>2.9700000000000001E-2</v>
      </c>
      <c r="G27" s="82">
        <v>21.857500000000002</v>
      </c>
      <c r="H27" s="87">
        <v>21.855399999999999</v>
      </c>
      <c r="I27" s="76">
        <v>0.15</v>
      </c>
      <c r="J27" s="78">
        <v>41500</v>
      </c>
      <c r="K27" s="147"/>
      <c r="L27" s="148">
        <v>18993</v>
      </c>
      <c r="M27" s="74">
        <f t="shared" si="0"/>
        <v>19000.980411772955</v>
      </c>
      <c r="N27" s="74">
        <f>+(M27/'[5]Calibration curves '!$B$18)*'[5]Background info'!$C$3/1000</f>
        <v>5.86569612927514E-2</v>
      </c>
      <c r="O27" s="74">
        <v>1.9552320430917134</v>
      </c>
      <c r="P27" s="74">
        <v>1.9472060362238419</v>
      </c>
      <c r="Q27" s="79">
        <v>65.562492802149563</v>
      </c>
      <c r="R27" s="80"/>
      <c r="T27" s="118"/>
      <c r="U27" s="118"/>
      <c r="V27" s="119" t="s">
        <v>162</v>
      </c>
      <c r="W27" s="120" t="s">
        <v>195</v>
      </c>
      <c r="X27" s="120"/>
      <c r="Z27" s="149" t="s">
        <v>110</v>
      </c>
      <c r="AA27" s="150">
        <v>1.9772950909291467</v>
      </c>
      <c r="AB27" s="150">
        <v>8.7672837931409049</v>
      </c>
      <c r="AC27" s="150">
        <v>-6268.4982644395059</v>
      </c>
      <c r="AD27" s="106"/>
      <c r="AE27" s="115" t="s">
        <v>111</v>
      </c>
      <c r="AF27" s="120"/>
      <c r="AG27" s="22"/>
      <c r="AH27" s="120"/>
    </row>
    <row r="28" spans="1:34" x14ac:dyDescent="0.3">
      <c r="A28" s="74">
        <v>22</v>
      </c>
      <c r="B28" s="74" t="s">
        <v>216</v>
      </c>
      <c r="C28" s="139" t="s">
        <v>27</v>
      </c>
      <c r="D28" s="125">
        <v>41149</v>
      </c>
      <c r="E28" s="82">
        <v>15.977600000000001</v>
      </c>
      <c r="F28" s="151">
        <v>3.1E-2</v>
      </c>
      <c r="G28" s="146">
        <v>21.8508</v>
      </c>
      <c r="H28" s="87">
        <v>21.8489</v>
      </c>
      <c r="I28" s="76">
        <v>0.15</v>
      </c>
      <c r="J28" s="78">
        <v>41500</v>
      </c>
      <c r="K28" s="152"/>
      <c r="L28" s="148">
        <v>18607</v>
      </c>
      <c r="M28" s="74">
        <f t="shared" si="0"/>
        <v>18614.073347872189</v>
      </c>
      <c r="N28" s="74">
        <f>+(M28/'[5]Calibration curves '!$B$18)*'[5]Background info'!$C$3/1000</f>
        <v>5.7462560152426158E-2</v>
      </c>
      <c r="O28" s="74">
        <v>1.9154186717475385</v>
      </c>
      <c r="P28" s="74">
        <v>1.9073926648796671</v>
      </c>
      <c r="Q28" s="79">
        <v>61.528795641279586</v>
      </c>
      <c r="R28" s="80"/>
      <c r="T28" s="118"/>
      <c r="U28" s="118"/>
      <c r="V28" s="119" t="s">
        <v>162</v>
      </c>
      <c r="W28" s="120"/>
      <c r="X28" s="120"/>
      <c r="Z28" s="16"/>
      <c r="AA28" s="153"/>
      <c r="AB28" s="153"/>
      <c r="AD28" s="106"/>
      <c r="AE28" s="22"/>
      <c r="AF28" s="120"/>
      <c r="AG28" s="22"/>
      <c r="AH28" s="120"/>
    </row>
    <row r="29" spans="1:34" x14ac:dyDescent="0.3">
      <c r="A29" s="74">
        <v>23</v>
      </c>
      <c r="B29" s="74" t="s">
        <v>217</v>
      </c>
      <c r="C29" s="139" t="s">
        <v>27</v>
      </c>
      <c r="D29" s="125">
        <v>41149</v>
      </c>
      <c r="E29" s="82">
        <v>16.007100000000001</v>
      </c>
      <c r="F29" s="146">
        <v>3.4099999999999998E-2</v>
      </c>
      <c r="G29" s="151">
        <v>21.88</v>
      </c>
      <c r="H29" s="87">
        <v>21.8765</v>
      </c>
      <c r="I29" s="76">
        <v>0.15</v>
      </c>
      <c r="J29" s="78">
        <v>41500</v>
      </c>
      <c r="K29" s="147"/>
      <c r="L29" s="148">
        <v>20804</v>
      </c>
      <c r="M29" s="74">
        <f t="shared" si="0"/>
        <v>20818.573001100769</v>
      </c>
      <c r="N29" s="74">
        <f>+(M29/'[5]Calibration curves '!$B$18)*'[5]Background info'!$C$3/1000</f>
        <v>6.4267959033275104E-2</v>
      </c>
      <c r="O29" s="74">
        <v>2.1422653011091701</v>
      </c>
      <c r="P29" s="74">
        <v>2.1342392942412984</v>
      </c>
      <c r="Q29" s="79">
        <v>62.587662587721361</v>
      </c>
      <c r="R29" s="80"/>
      <c r="T29" s="118"/>
      <c r="U29" s="118"/>
      <c r="V29" s="119"/>
      <c r="W29" s="120"/>
      <c r="X29" s="120"/>
      <c r="Z29" s="16"/>
      <c r="AA29" s="153"/>
      <c r="AB29" s="153"/>
      <c r="AD29" s="106"/>
      <c r="AE29" s="26"/>
      <c r="AF29" s="120"/>
      <c r="AG29" s="22"/>
      <c r="AH29" s="120"/>
    </row>
    <row r="30" spans="1:34" x14ac:dyDescent="0.3">
      <c r="A30" s="74">
        <v>24</v>
      </c>
      <c r="B30" s="74" t="s">
        <v>218</v>
      </c>
      <c r="C30" s="139" t="s">
        <v>27</v>
      </c>
      <c r="D30" s="125">
        <v>41149</v>
      </c>
      <c r="E30" s="82">
        <v>16.063199999999998</v>
      </c>
      <c r="F30" s="146">
        <v>3.0300000000000001E-2</v>
      </c>
      <c r="G30" s="146">
        <v>21.928699999999999</v>
      </c>
      <c r="H30" s="87">
        <v>21.925999999999998</v>
      </c>
      <c r="I30" s="76">
        <v>0.15</v>
      </c>
      <c r="J30" s="78">
        <v>41500</v>
      </c>
      <c r="K30" s="152"/>
      <c r="L30" s="148">
        <v>17187</v>
      </c>
      <c r="M30" s="74">
        <f t="shared" si="0"/>
        <v>17196.285994436999</v>
      </c>
      <c r="N30" s="74">
        <f>+(M30/'[5]Calibration curves '!$B$18)*'[5]Background info'!$C$3/1000</f>
        <v>5.3085780843697812E-2</v>
      </c>
      <c r="O30" s="74">
        <v>1.7695260281232605</v>
      </c>
      <c r="P30" s="74">
        <v>1.7615000212553891</v>
      </c>
      <c r="Q30" s="79">
        <v>58.135314232851123</v>
      </c>
      <c r="R30" s="80"/>
      <c r="T30" s="118"/>
      <c r="U30" s="118"/>
      <c r="V30" s="120"/>
      <c r="W30" s="120"/>
      <c r="X30" s="120"/>
      <c r="Z30" s="1" t="s">
        <v>112</v>
      </c>
      <c r="AA30" s="153"/>
      <c r="AB30" s="153"/>
      <c r="AD30" s="106"/>
      <c r="AE30" s="17"/>
      <c r="AF30" s="120"/>
      <c r="AG30" s="22"/>
      <c r="AH30" s="120"/>
    </row>
    <row r="31" spans="1:34" x14ac:dyDescent="0.3">
      <c r="A31" s="74">
        <v>25</v>
      </c>
      <c r="B31" s="74" t="s">
        <v>219</v>
      </c>
      <c r="C31" s="139" t="s">
        <v>27</v>
      </c>
      <c r="D31" s="125">
        <v>41149</v>
      </c>
      <c r="E31" s="82">
        <v>16.111699999999999</v>
      </c>
      <c r="F31" s="146">
        <v>3.1600000000000003E-2</v>
      </c>
      <c r="G31" s="146">
        <v>21.972100000000001</v>
      </c>
      <c r="H31" s="87">
        <v>21.97</v>
      </c>
      <c r="I31" s="76">
        <v>0.15</v>
      </c>
      <c r="J31" s="78">
        <v>41500</v>
      </c>
      <c r="K31" s="147"/>
      <c r="L31" s="148">
        <v>16179</v>
      </c>
      <c r="M31" s="74">
        <f t="shared" si="0"/>
        <v>16185.798035174781</v>
      </c>
      <c r="N31" s="74">
        <f>+(M31/'[5]Calibration curves '!$B$18)*'[5]Background info'!$C$3/1000</f>
        <v>4.9966354802054698E-2</v>
      </c>
      <c r="O31" s="74">
        <v>1.6655451600684898</v>
      </c>
      <c r="P31" s="74">
        <v>1.6575191532006184</v>
      </c>
      <c r="Q31" s="79">
        <v>52.453137759513233</v>
      </c>
      <c r="R31" s="80"/>
      <c r="T31" s="118"/>
      <c r="U31" s="118"/>
      <c r="V31" s="120"/>
      <c r="W31" s="120"/>
      <c r="X31" s="120"/>
      <c r="Z31" s="141" t="s">
        <v>106</v>
      </c>
      <c r="AA31" s="142">
        <v>320.56232214001142</v>
      </c>
      <c r="AB31" s="142">
        <v>326.48036425725667</v>
      </c>
      <c r="AC31" s="142">
        <v>620</v>
      </c>
      <c r="AD31" s="106"/>
      <c r="AE31" s="17"/>
      <c r="AF31" s="120"/>
      <c r="AG31" s="22"/>
      <c r="AH31" s="120"/>
    </row>
    <row r="32" spans="1:34" x14ac:dyDescent="0.3">
      <c r="A32" s="74">
        <v>26</v>
      </c>
      <c r="B32" s="139">
        <v>1</v>
      </c>
      <c r="C32" s="139"/>
      <c r="D32" s="125"/>
      <c r="E32" s="82">
        <v>16.011900000000001</v>
      </c>
      <c r="F32" s="151">
        <v>3.2000000000000001E-2</v>
      </c>
      <c r="G32" s="146">
        <v>21.875599999999999</v>
      </c>
      <c r="H32" s="87">
        <v>21.873000000000001</v>
      </c>
      <c r="I32" s="76">
        <v>0.15</v>
      </c>
      <c r="J32" s="78">
        <v>41500</v>
      </c>
      <c r="K32" s="152" t="s">
        <v>224</v>
      </c>
      <c r="L32" s="148">
        <v>10544</v>
      </c>
      <c r="M32" s="74">
        <f t="shared" si="0"/>
        <v>10549.485732580937</v>
      </c>
      <c r="N32" s="74">
        <f>+(M32/'[5]Calibration curves '!$B$18)*'[5]Background info'!$C$3/1000</f>
        <v>3.2566781443078903E-2</v>
      </c>
      <c r="O32" s="74">
        <v>1.0855593814359634</v>
      </c>
      <c r="P32" s="74">
        <v>1.077533374568092</v>
      </c>
      <c r="Q32" s="79">
        <v>33.672917955252871</v>
      </c>
      <c r="R32" s="80"/>
      <c r="T32" s="118"/>
      <c r="U32" s="118"/>
      <c r="V32" s="120"/>
      <c r="W32" s="120"/>
      <c r="X32" s="120"/>
      <c r="Z32" s="144" t="s">
        <v>108</v>
      </c>
      <c r="AA32" s="145">
        <v>50</v>
      </c>
      <c r="AB32" s="145">
        <v>43</v>
      </c>
      <c r="AC32" s="145">
        <v>47</v>
      </c>
      <c r="AD32" s="106"/>
      <c r="AE32" s="17"/>
      <c r="AF32" s="120"/>
      <c r="AG32" s="22"/>
      <c r="AH32" s="120"/>
    </row>
    <row r="33" spans="1:34" x14ac:dyDescent="0.3">
      <c r="A33" s="74">
        <v>27</v>
      </c>
      <c r="B33" s="139">
        <v>2</v>
      </c>
      <c r="C33" s="74"/>
      <c r="D33" s="112"/>
      <c r="E33" s="82">
        <v>16.0259</v>
      </c>
      <c r="F33" s="151">
        <v>3.09E-2</v>
      </c>
      <c r="G33" s="146">
        <v>21.894500000000001</v>
      </c>
      <c r="H33" s="130">
        <v>21.891300000000001</v>
      </c>
      <c r="I33" s="76">
        <v>0.15</v>
      </c>
      <c r="J33" s="78">
        <v>41500</v>
      </c>
      <c r="K33" s="152" t="s">
        <v>224</v>
      </c>
      <c r="L33" s="148">
        <v>16060</v>
      </c>
      <c r="M33" s="74">
        <f t="shared" si="0"/>
        <v>16070.284982388728</v>
      </c>
      <c r="N33" s="74">
        <f>+(M33/'[5]Calibration curves '!$B$18)*'[5]Background info'!$C$3/1000</f>
        <v>4.9609760325388594E-2</v>
      </c>
      <c r="O33" s="74">
        <v>1.6536586775129534</v>
      </c>
      <c r="P33" s="74">
        <v>1.6456326706450819</v>
      </c>
      <c r="Q33" s="79">
        <v>53.256720732850546</v>
      </c>
      <c r="R33" s="155"/>
      <c r="T33" s="118"/>
      <c r="Z33" s="149" t="s">
        <v>110</v>
      </c>
      <c r="AA33" s="150">
        <v>38.932840068297992</v>
      </c>
      <c r="AB33" s="150">
        <v>15.185543540125309</v>
      </c>
      <c r="AC33" s="150">
        <v>-187</v>
      </c>
      <c r="AD33" s="88"/>
      <c r="AE33" s="156"/>
      <c r="AF33" s="145"/>
      <c r="AG33" s="145"/>
      <c r="AH33" s="145"/>
    </row>
    <row r="34" spans="1:34" x14ac:dyDescent="0.3">
      <c r="A34" s="74">
        <v>28</v>
      </c>
      <c r="B34" s="139">
        <v>3</v>
      </c>
      <c r="C34" s="74"/>
      <c r="D34" s="112"/>
      <c r="E34" s="82">
        <v>16.014299999999999</v>
      </c>
      <c r="F34" s="151">
        <v>3.15E-2</v>
      </c>
      <c r="G34" s="146">
        <v>21.889399999999998</v>
      </c>
      <c r="H34" s="87">
        <v>21.887599999999999</v>
      </c>
      <c r="I34" s="157">
        <v>0.15</v>
      </c>
      <c r="J34" s="78">
        <v>41500</v>
      </c>
      <c r="K34" s="152" t="s">
        <v>224</v>
      </c>
      <c r="L34" s="148">
        <v>16914</v>
      </c>
      <c r="M34" s="74">
        <f>L34*(5/(5-(G34-H34)))</f>
        <v>16920.091232843821</v>
      </c>
      <c r="N34" s="74">
        <f>+(M34/'[5]Calibration curves '!$B$18)*'[5]Background info'!$C$3/1000</f>
        <v>5.2233154027136609E-2</v>
      </c>
      <c r="O34" s="74">
        <v>1.7411051342378869</v>
      </c>
      <c r="P34" s="74">
        <v>1.7330791273700155</v>
      </c>
      <c r="Q34" s="79">
        <v>55.018384995873504</v>
      </c>
      <c r="R34" s="155"/>
      <c r="T34" s="118"/>
      <c r="AA34" s="16"/>
      <c r="AB34" s="16"/>
      <c r="AC34" s="16"/>
      <c r="AD34" s="16"/>
      <c r="AE34" s="16"/>
      <c r="AF34" s="16"/>
      <c r="AG34" s="158"/>
      <c r="AH34" s="16"/>
    </row>
    <row r="35" spans="1:34" x14ac:dyDescent="0.3">
      <c r="A35" s="74">
        <v>29</v>
      </c>
      <c r="B35" s="139">
        <v>4</v>
      </c>
      <c r="C35" s="74"/>
      <c r="D35" s="112"/>
      <c r="E35" s="82">
        <v>15.945399999999999</v>
      </c>
      <c r="F35" s="151">
        <v>2.92E-2</v>
      </c>
      <c r="G35" s="159">
        <v>21.813800000000001</v>
      </c>
      <c r="H35" s="130">
        <v>21.810600000000001</v>
      </c>
      <c r="I35" s="76">
        <v>0.15</v>
      </c>
      <c r="J35" s="78">
        <v>41500</v>
      </c>
      <c r="K35" s="152" t="s">
        <v>224</v>
      </c>
      <c r="L35" s="148">
        <v>11009</v>
      </c>
      <c r="M35" s="74">
        <f>L35*(5/(5-(G35-H35)))</f>
        <v>11016.05027217419</v>
      </c>
      <c r="N35" s="74">
        <f>+(M35/'[5]Calibration curves '!$B$18)*'[5]Background info'!$C$3/1000</f>
        <v>3.4007089129651488E-2</v>
      </c>
      <c r="O35" s="74">
        <v>1.1335696376550497</v>
      </c>
      <c r="P35" s="74">
        <v>1.1255436307871782</v>
      </c>
      <c r="Q35" s="79">
        <v>38.546014752985556</v>
      </c>
      <c r="R35" s="155"/>
      <c r="T35" s="118"/>
      <c r="AG35" s="86"/>
      <c r="AH35" s="22"/>
    </row>
    <row r="36" spans="1:34" ht="15" thickBot="1" x14ac:dyDescent="0.35">
      <c r="A36" s="74">
        <v>30</v>
      </c>
      <c r="B36" s="139">
        <v>5</v>
      </c>
      <c r="C36" s="74"/>
      <c r="D36" s="74"/>
      <c r="E36" s="87">
        <v>15.9062</v>
      </c>
      <c r="F36" s="146">
        <v>3.0099999999999998E-2</v>
      </c>
      <c r="G36" s="146">
        <v>21.776499999999999</v>
      </c>
      <c r="H36" s="87">
        <v>21.771999999999998</v>
      </c>
      <c r="I36" s="76">
        <v>0.15</v>
      </c>
      <c r="J36" s="78">
        <v>41500</v>
      </c>
      <c r="K36" s="152" t="s">
        <v>224</v>
      </c>
      <c r="L36" s="81">
        <v>12053</v>
      </c>
      <c r="M36" s="74">
        <f t="shared" si="0"/>
        <v>12063.857471724552</v>
      </c>
      <c r="N36" s="74">
        <f>+(M36/'[5]Calibration curves '!$B$18)*'[5]Background info'!$C$3/1000</f>
        <v>3.7241721502000585E-2</v>
      </c>
      <c r="O36" s="74">
        <v>1.2413907167333529</v>
      </c>
      <c r="P36" s="74">
        <v>1.2333647098654814</v>
      </c>
      <c r="Q36" s="79">
        <v>40.975571756328286</v>
      </c>
      <c r="R36" s="155"/>
      <c r="T36" s="118"/>
      <c r="AG36" s="86"/>
      <c r="AH36" s="22"/>
    </row>
    <row r="37" spans="1:34" x14ac:dyDescent="0.3">
      <c r="A37" s="74">
        <v>31</v>
      </c>
      <c r="B37" s="74" t="s">
        <v>76</v>
      </c>
      <c r="C37" s="74"/>
      <c r="D37" s="74"/>
      <c r="E37" s="87">
        <v>16.051100000000002</v>
      </c>
      <c r="F37" s="146">
        <v>3.1899999999999998E-2</v>
      </c>
      <c r="G37" s="82">
        <v>21.927800000000001</v>
      </c>
      <c r="H37" s="87">
        <v>21.925699999999999</v>
      </c>
      <c r="I37" s="76">
        <v>0.15</v>
      </c>
      <c r="J37" s="78">
        <v>41500</v>
      </c>
      <c r="K37" s="78"/>
      <c r="L37" s="81">
        <v>1795</v>
      </c>
      <c r="M37" s="74">
        <f t="shared" si="0"/>
        <v>1795.7542167710446</v>
      </c>
      <c r="N37" s="74">
        <f>+(M37/'[5]Calibration curves '!$B$18)*'[5]Background info'!$C$3/1000</f>
        <v>5.5435816100926003E-3</v>
      </c>
      <c r="O37" s="74">
        <v>0.18478605366975334</v>
      </c>
      <c r="P37" s="74">
        <v>0.17676004680188179</v>
      </c>
      <c r="Q37" s="79">
        <v>5.5410672978646334</v>
      </c>
      <c r="R37" s="155"/>
      <c r="T37" s="160">
        <f t="shared" ref="T37:T42" si="1">Q37*1.063</f>
        <v>5.8901545376301048</v>
      </c>
      <c r="U37" s="161">
        <f>AVERAGE(T37:T38)</f>
        <v>5.9694824304341498</v>
      </c>
      <c r="V37" s="162">
        <v>6.41</v>
      </c>
      <c r="W37" s="163" t="s">
        <v>77</v>
      </c>
      <c r="AG37" s="86"/>
    </row>
    <row r="38" spans="1:34" x14ac:dyDescent="0.3">
      <c r="A38" s="74">
        <v>32</v>
      </c>
      <c r="B38" s="74" t="s">
        <v>76</v>
      </c>
      <c r="C38" s="139"/>
      <c r="D38" s="139"/>
      <c r="E38" s="82">
        <v>16.023800000000001</v>
      </c>
      <c r="F38" s="146">
        <v>3.3099999999999997E-2</v>
      </c>
      <c r="G38" s="82">
        <v>21.908300000000001</v>
      </c>
      <c r="H38" s="87">
        <v>21.907299999999999</v>
      </c>
      <c r="I38" s="76">
        <v>0.15</v>
      </c>
      <c r="J38" s="78">
        <v>41500</v>
      </c>
      <c r="K38" s="78"/>
      <c r="L38" s="81">
        <v>1908</v>
      </c>
      <c r="M38" s="74">
        <f t="shared" si="0"/>
        <v>1908.3816763352675</v>
      </c>
      <c r="N38" s="74">
        <f>+(M38/'[5]Calibration curves '!$B$18)*'[5]Background info'!$C$3/1000</f>
        <v>5.8912681185248825E-3</v>
      </c>
      <c r="O38" s="74">
        <v>0.19637560395082942</v>
      </c>
      <c r="P38" s="74">
        <v>0.18834959708295787</v>
      </c>
      <c r="Q38" s="79">
        <v>5.6903201535636825</v>
      </c>
      <c r="R38" s="88"/>
      <c r="T38" s="164">
        <f t="shared" si="1"/>
        <v>6.048810323238194</v>
      </c>
      <c r="U38" s="118"/>
      <c r="V38" s="120"/>
      <c r="W38" s="166"/>
      <c r="AG38" s="86"/>
      <c r="AH38" s="86"/>
    </row>
    <row r="39" spans="1:34" x14ac:dyDescent="0.3">
      <c r="A39" s="74">
        <v>33</v>
      </c>
      <c r="B39" s="139" t="s">
        <v>79</v>
      </c>
      <c r="C39" s="139"/>
      <c r="D39" s="139"/>
      <c r="E39" s="82">
        <v>15.9666</v>
      </c>
      <c r="F39" s="146">
        <v>3.04E-2</v>
      </c>
      <c r="G39" s="82">
        <v>21.856300000000001</v>
      </c>
      <c r="H39" s="87">
        <v>21.8552</v>
      </c>
      <c r="I39" s="76">
        <v>0.15</v>
      </c>
      <c r="J39" s="78">
        <v>41500</v>
      </c>
      <c r="K39" s="78"/>
      <c r="L39" s="81">
        <v>23066</v>
      </c>
      <c r="M39" s="74">
        <f t="shared" si="0"/>
        <v>23071.075636640064</v>
      </c>
      <c r="N39" s="74">
        <f>+(M39/'[5]Calibration curves '!$B$18)*'[5]Background info'!$C$3/1000</f>
        <v>7.1221545482045123E-2</v>
      </c>
      <c r="O39" s="74">
        <v>2.374051516068171</v>
      </c>
      <c r="P39" s="74">
        <v>2.3660255092002993</v>
      </c>
      <c r="Q39" s="79">
        <v>77.829786486851944</v>
      </c>
      <c r="R39" s="88">
        <v>109.17353436289399</v>
      </c>
      <c r="T39" s="164"/>
      <c r="U39" s="118"/>
      <c r="V39" s="120"/>
      <c r="W39" s="166"/>
      <c r="AG39" s="86"/>
    </row>
    <row r="40" spans="1:34" x14ac:dyDescent="0.3">
      <c r="A40" s="74">
        <v>34</v>
      </c>
      <c r="B40" s="139" t="s">
        <v>79</v>
      </c>
      <c r="C40" s="139"/>
      <c r="D40" s="139"/>
      <c r="E40" s="87">
        <v>15.978</v>
      </c>
      <c r="F40" s="146">
        <v>2.9100000000000001E-2</v>
      </c>
      <c r="G40" s="82">
        <v>21.867799999999999</v>
      </c>
      <c r="H40" s="87">
        <v>21.866599999999998</v>
      </c>
      <c r="I40" s="76">
        <v>0.15</v>
      </c>
      <c r="J40" s="78">
        <v>41500</v>
      </c>
      <c r="K40" s="78"/>
      <c r="L40" s="81">
        <v>22156</v>
      </c>
      <c r="M40" s="74">
        <f t="shared" si="0"/>
        <v>22161.318716491962</v>
      </c>
      <c r="N40" s="74">
        <f>+(M40/'[5]Calibration curves '!$B$18)*'[5]Background info'!$C$3/1000</f>
        <v>6.8413081113655169E-2</v>
      </c>
      <c r="O40" s="74">
        <v>2.2804360371218393</v>
      </c>
      <c r="P40" s="74">
        <v>2.2724100302539676</v>
      </c>
      <c r="Q40" s="79">
        <v>78.089691761304721</v>
      </c>
      <c r="R40" s="88">
        <v>104.49276041557741</v>
      </c>
      <c r="T40" s="164"/>
      <c r="U40" s="118"/>
      <c r="V40" s="120"/>
      <c r="W40" s="166"/>
      <c r="AG40" s="86"/>
    </row>
    <row r="41" spans="1:34" x14ac:dyDescent="0.3">
      <c r="A41" s="74">
        <v>35</v>
      </c>
      <c r="B41" s="139" t="s">
        <v>165</v>
      </c>
      <c r="C41" s="139"/>
      <c r="D41" s="139"/>
      <c r="E41" s="82">
        <v>16.054099999999998</v>
      </c>
      <c r="F41" s="146">
        <v>3.2199999999999999E-2</v>
      </c>
      <c r="G41" s="87">
        <v>21.942499999999999</v>
      </c>
      <c r="H41" s="87">
        <v>21.941299999999998</v>
      </c>
      <c r="I41" s="82">
        <v>0.15</v>
      </c>
      <c r="J41" s="78">
        <v>41500</v>
      </c>
      <c r="K41" s="78"/>
      <c r="L41" s="81">
        <v>2465</v>
      </c>
      <c r="M41" s="74">
        <f t="shared" si="0"/>
        <v>2465.5917420180849</v>
      </c>
      <c r="N41" s="74">
        <f>+(M41/'[5]Calibration curves '!$B$18)*'[5]Background info'!$C$3/1000</f>
        <v>7.611403003482578E-3</v>
      </c>
      <c r="O41" s="74">
        <v>0.25371343344941927</v>
      </c>
      <c r="P41" s="74">
        <v>0.24568742658154771</v>
      </c>
      <c r="Q41" s="79">
        <v>7.6300443037747741</v>
      </c>
      <c r="R41" s="88"/>
      <c r="T41" s="164">
        <f t="shared" si="1"/>
        <v>8.1107370949125848</v>
      </c>
      <c r="U41" s="118">
        <f>AVERAGE(T41:T42)</f>
        <v>8.2684739176027389</v>
      </c>
      <c r="V41" s="26">
        <v>7.64</v>
      </c>
      <c r="W41" s="166"/>
      <c r="AG41" s="86"/>
      <c r="AH41" s="167"/>
    </row>
    <row r="42" spans="1:34" ht="15" thickBot="1" x14ac:dyDescent="0.35">
      <c r="A42" s="74">
        <v>36</v>
      </c>
      <c r="B42" s="139" t="s">
        <v>165</v>
      </c>
      <c r="C42" s="139"/>
      <c r="D42" s="139"/>
      <c r="E42" s="87">
        <v>16.058</v>
      </c>
      <c r="F42" s="146">
        <v>3.0300000000000001E-2</v>
      </c>
      <c r="G42" s="87">
        <v>21.934899999999999</v>
      </c>
      <c r="H42" s="87">
        <v>21.934699999999999</v>
      </c>
      <c r="I42" s="82">
        <v>0.15</v>
      </c>
      <c r="J42" s="78">
        <v>41500</v>
      </c>
      <c r="K42" s="78"/>
      <c r="L42" s="81">
        <v>2412</v>
      </c>
      <c r="M42" s="74">
        <f t="shared" si="0"/>
        <v>2412.0964838593541</v>
      </c>
      <c r="N42" s="74">
        <f>+(M42/'[5]Calibration curves '!$B$18)*'[5]Background info'!$C$3/1000</f>
        <v>7.4462605098237671E-3</v>
      </c>
      <c r="O42" s="74">
        <v>0.24820868366079224</v>
      </c>
      <c r="P42" s="74">
        <v>0.24018267679292069</v>
      </c>
      <c r="Q42" s="79">
        <v>7.9268210162680095</v>
      </c>
      <c r="R42" s="88"/>
      <c r="T42" s="168">
        <f t="shared" si="1"/>
        <v>8.426210740292893</v>
      </c>
      <c r="U42" s="175"/>
      <c r="V42" s="176"/>
      <c r="W42" s="177"/>
      <c r="AG42" s="86"/>
      <c r="AH42" s="167"/>
    </row>
    <row r="43" spans="1:34" x14ac:dyDescent="0.3">
      <c r="A43" s="74">
        <v>37</v>
      </c>
      <c r="B43" s="139" t="s">
        <v>166</v>
      </c>
      <c r="C43" s="139"/>
      <c r="D43" s="139"/>
      <c r="E43" s="82">
        <v>15.9779</v>
      </c>
      <c r="F43" s="151">
        <v>3.0700000000000002E-2</v>
      </c>
      <c r="G43" s="82">
        <v>21.8767</v>
      </c>
      <c r="H43" s="87">
        <v>21.875900000000001</v>
      </c>
      <c r="I43" s="82">
        <v>0.15</v>
      </c>
      <c r="J43" s="78">
        <v>41500</v>
      </c>
      <c r="K43" s="78"/>
      <c r="L43" s="81">
        <v>21350</v>
      </c>
      <c r="M43" s="74">
        <f t="shared" si="0"/>
        <v>21353.416546647455</v>
      </c>
      <c r="N43" s="74">
        <f>+(M43/'[5]Calibration curves '!$B$18)*'[5]Background info'!$C$3/1000</f>
        <v>6.5919047370241762E-2</v>
      </c>
      <c r="O43" s="74">
        <v>2.1973015790080592</v>
      </c>
      <c r="P43" s="74">
        <v>2.1892755721401875</v>
      </c>
      <c r="Q43" s="79">
        <v>71.311907887302525</v>
      </c>
      <c r="R43" s="88">
        <v>97.317026022647667</v>
      </c>
      <c r="AG43" s="86"/>
    </row>
    <row r="44" spans="1:34" x14ac:dyDescent="0.3">
      <c r="A44" s="74">
        <v>38</v>
      </c>
      <c r="B44" s="139" t="s">
        <v>166</v>
      </c>
      <c r="C44" s="139"/>
      <c r="D44" s="139"/>
      <c r="E44" s="82">
        <v>16.085599999999999</v>
      </c>
      <c r="F44" s="146">
        <v>3.0300000000000001E-2</v>
      </c>
      <c r="G44" s="82">
        <v>21.988700000000001</v>
      </c>
      <c r="H44" s="87">
        <v>21.988499999999998</v>
      </c>
      <c r="I44" s="82">
        <v>0.15</v>
      </c>
      <c r="J44" s="78">
        <v>41500</v>
      </c>
      <c r="K44" s="78"/>
      <c r="L44" s="81">
        <v>22826</v>
      </c>
      <c r="M44" s="74">
        <f t="shared" si="0"/>
        <v>22826.913076523073</v>
      </c>
      <c r="N44" s="74">
        <f>+(M44/'[5]Calibration curves '!$B$18)*'[5]Background info'!$C$3/1000</f>
        <v>7.0467803647279198E-2</v>
      </c>
      <c r="O44" s="74">
        <v>2.3489267882426401</v>
      </c>
      <c r="P44" s="74">
        <v>2.3409007813747684</v>
      </c>
      <c r="Q44" s="79">
        <v>77.257451530520413</v>
      </c>
      <c r="R44" s="88">
        <v>104.89828648437671</v>
      </c>
      <c r="AG44" s="86"/>
    </row>
    <row r="45" spans="1:34" x14ac:dyDescent="0.3">
      <c r="A45" s="74">
        <v>39</v>
      </c>
      <c r="B45" s="139" t="s">
        <v>81</v>
      </c>
      <c r="C45" s="139"/>
      <c r="D45" s="139"/>
      <c r="E45" s="82">
        <v>16.0959</v>
      </c>
      <c r="F45" s="146">
        <v>2.47E-2</v>
      </c>
      <c r="G45" s="87">
        <v>21.965499999999999</v>
      </c>
      <c r="H45" s="87">
        <v>21.965299999999999</v>
      </c>
      <c r="I45" s="82">
        <v>0.15</v>
      </c>
      <c r="J45" s="78">
        <v>41500</v>
      </c>
      <c r="K45" s="78"/>
      <c r="L45" s="81">
        <v>5488</v>
      </c>
      <c r="M45" s="74">
        <f t="shared" si="0"/>
        <v>5488.219528781151</v>
      </c>
      <c r="N45" s="74">
        <f>+(M45/'[5]Calibration curves '!$B$18)*'[5]Background info'!$C$3/1000</f>
        <v>1.6942403680726713E-2</v>
      </c>
      <c r="O45" s="74">
        <v>0.56474678935755718</v>
      </c>
      <c r="P45" s="74">
        <v>0.55672078248968559</v>
      </c>
      <c r="Q45" s="79">
        <v>22.539302934805086</v>
      </c>
      <c r="R45" s="88"/>
      <c r="T45" s="16">
        <f>Q45*1.051</f>
        <v>23.688807384480143</v>
      </c>
      <c r="U45" s="16">
        <f>AVERAGE(T45:T46)</f>
        <v>23.606941924376123</v>
      </c>
      <c r="V45" s="172" t="s">
        <v>82</v>
      </c>
      <c r="W45" s="83" t="s">
        <v>81</v>
      </c>
      <c r="AG45" s="86"/>
    </row>
    <row r="46" spans="1:34" x14ac:dyDescent="0.3">
      <c r="A46" s="74">
        <v>40</v>
      </c>
      <c r="B46" s="139" t="s">
        <v>81</v>
      </c>
      <c r="C46" s="139"/>
      <c r="D46" s="139"/>
      <c r="E46" s="87">
        <v>15.987399999999999</v>
      </c>
      <c r="F46" s="82">
        <v>2.53E-2</v>
      </c>
      <c r="G46" s="82">
        <v>21.8642</v>
      </c>
      <c r="H46" s="87">
        <v>21.863</v>
      </c>
      <c r="I46" s="82">
        <v>0.15</v>
      </c>
      <c r="J46" s="78">
        <v>41500</v>
      </c>
      <c r="K46" s="78"/>
      <c r="L46" s="81">
        <v>5580</v>
      </c>
      <c r="M46" s="74">
        <f t="shared" si="0"/>
        <v>5581.3395214851571</v>
      </c>
      <c r="N46" s="74">
        <f>+(M46/'[5]Calibration curves '!$B$18)*'[5]Background info'!$C$3/1000</f>
        <v>1.7229869679283076E-2</v>
      </c>
      <c r="O46" s="74">
        <v>0.57432898930943599</v>
      </c>
      <c r="P46" s="74">
        <v>0.56630298244156441</v>
      </c>
      <c r="Q46" s="79">
        <v>22.383517092551955</v>
      </c>
      <c r="R46" s="88"/>
      <c r="T46" s="16">
        <f>Q46*1.051</f>
        <v>23.525076464272104</v>
      </c>
      <c r="AG46" s="86"/>
    </row>
    <row r="47" spans="1:34" x14ac:dyDescent="0.3">
      <c r="Q47" s="24"/>
      <c r="R47" s="25"/>
      <c r="AG47" s="86"/>
    </row>
    <row r="48" spans="1:34" x14ac:dyDescent="0.3">
      <c r="AG48" s="86"/>
    </row>
    <row r="49" spans="33:33" x14ac:dyDescent="0.3">
      <c r="AG49" s="86"/>
    </row>
    <row r="50" spans="33:33" x14ac:dyDescent="0.3">
      <c r="AG50" s="86"/>
    </row>
    <row r="51" spans="33:33" x14ac:dyDescent="0.3">
      <c r="AG51" s="86"/>
    </row>
    <row r="52" spans="33:33" x14ac:dyDescent="0.3">
      <c r="AG52" s="86"/>
    </row>
    <row r="53" spans="33:33" x14ac:dyDescent="0.3">
      <c r="AG53" s="86"/>
    </row>
    <row r="54" spans="33:33" x14ac:dyDescent="0.3">
      <c r="AG54" s="86"/>
    </row>
    <row r="55" spans="33:33" x14ac:dyDescent="0.3">
      <c r="AG55" s="86"/>
    </row>
    <row r="56" spans="33:33" x14ac:dyDescent="0.3">
      <c r="AG56" s="86"/>
    </row>
    <row r="57" spans="33:33" x14ac:dyDescent="0.3">
      <c r="AG57" s="86"/>
    </row>
    <row r="58" spans="33:33" x14ac:dyDescent="0.3">
      <c r="AG58" s="86"/>
    </row>
    <row r="59" spans="33:33" x14ac:dyDescent="0.3">
      <c r="AG59" s="86"/>
    </row>
    <row r="60" spans="33:33" x14ac:dyDescent="0.3">
      <c r="AG60" s="86"/>
    </row>
    <row r="61" spans="33:33" x14ac:dyDescent="0.3">
      <c r="AG61" s="86"/>
    </row>
    <row r="62" spans="33:33" x14ac:dyDescent="0.3">
      <c r="AG62" s="86"/>
    </row>
    <row r="63" spans="33:33" x14ac:dyDescent="0.3">
      <c r="AG63" s="86"/>
    </row>
    <row r="64" spans="33:33" x14ac:dyDescent="0.3">
      <c r="AG64" s="86"/>
    </row>
    <row r="65" spans="33:33" x14ac:dyDescent="0.3">
      <c r="AG65" s="86"/>
    </row>
    <row r="66" spans="33:33" x14ac:dyDescent="0.3">
      <c r="AG66" s="86"/>
    </row>
    <row r="67" spans="33:33" x14ac:dyDescent="0.3">
      <c r="AG67" s="86"/>
    </row>
    <row r="68" spans="33:33" x14ac:dyDescent="0.3">
      <c r="AG68" s="86"/>
    </row>
    <row r="69" spans="33:33" x14ac:dyDescent="0.3">
      <c r="AG69" s="86"/>
    </row>
    <row r="70" spans="33:33" x14ac:dyDescent="0.3">
      <c r="AG70" s="86"/>
    </row>
    <row r="71" spans="33:33" x14ac:dyDescent="0.3">
      <c r="AG71" s="86"/>
    </row>
    <row r="72" spans="33:33" x14ac:dyDescent="0.3">
      <c r="AG72" s="86"/>
    </row>
    <row r="73" spans="33:33" x14ac:dyDescent="0.3">
      <c r="AG73" s="86"/>
    </row>
    <row r="74" spans="33:33" x14ac:dyDescent="0.3">
      <c r="AG74" s="86"/>
    </row>
    <row r="75" spans="33:33" x14ac:dyDescent="0.3">
      <c r="AG75" s="86"/>
    </row>
    <row r="76" spans="33:33" x14ac:dyDescent="0.3">
      <c r="AG76" s="86"/>
    </row>
    <row r="77" spans="33:33" x14ac:dyDescent="0.3">
      <c r="AG77" s="86"/>
    </row>
    <row r="78" spans="33:33" x14ac:dyDescent="0.3">
      <c r="AG78" s="86"/>
    </row>
    <row r="79" spans="33:33" x14ac:dyDescent="0.3">
      <c r="AG79" s="86"/>
    </row>
    <row r="80" spans="33:33" x14ac:dyDescent="0.3">
      <c r="AG80" s="86"/>
    </row>
    <row r="81" spans="33:33" x14ac:dyDescent="0.3">
      <c r="AG81" s="86"/>
    </row>
    <row r="82" spans="33:33" x14ac:dyDescent="0.3">
      <c r="AG82" s="86"/>
    </row>
    <row r="83" spans="33:33" x14ac:dyDescent="0.3">
      <c r="AG83" s="86"/>
    </row>
    <row r="84" spans="33:33" x14ac:dyDescent="0.3">
      <c r="AG84" s="86"/>
    </row>
    <row r="85" spans="33:33" x14ac:dyDescent="0.3">
      <c r="AG85" s="86"/>
    </row>
    <row r="86" spans="33:33" x14ac:dyDescent="0.3">
      <c r="AG86" s="86"/>
    </row>
    <row r="87" spans="33:33" x14ac:dyDescent="0.3">
      <c r="AG87" s="86"/>
    </row>
    <row r="88" spans="33:33" x14ac:dyDescent="0.3">
      <c r="AG88" s="86"/>
    </row>
    <row r="89" spans="33:33" x14ac:dyDescent="0.3">
      <c r="AG89" s="86"/>
    </row>
    <row r="90" spans="33:33" x14ac:dyDescent="0.3">
      <c r="AG90" s="86"/>
    </row>
    <row r="91" spans="33:33" x14ac:dyDescent="0.3">
      <c r="AG91" s="86"/>
    </row>
    <row r="92" spans="33:33" x14ac:dyDescent="0.3">
      <c r="AG92" s="86"/>
    </row>
    <row r="93" spans="33:33" x14ac:dyDescent="0.3">
      <c r="AG93" s="86"/>
    </row>
    <row r="94" spans="33:33" x14ac:dyDescent="0.3">
      <c r="AG94" s="86"/>
    </row>
    <row r="95" spans="33:33" x14ac:dyDescent="0.3">
      <c r="AG95" s="86"/>
    </row>
    <row r="96" spans="33:33" x14ac:dyDescent="0.3">
      <c r="AG96" s="86"/>
    </row>
    <row r="97" spans="33:33" x14ac:dyDescent="0.3">
      <c r="AG97" s="86"/>
    </row>
    <row r="98" spans="33:33" x14ac:dyDescent="0.3">
      <c r="AG98" s="86"/>
    </row>
    <row r="99" spans="33:33" x14ac:dyDescent="0.3">
      <c r="AG99" s="86"/>
    </row>
    <row r="100" spans="33:33" x14ac:dyDescent="0.3">
      <c r="AG100" s="86"/>
    </row>
    <row r="101" spans="33:33" x14ac:dyDescent="0.3">
      <c r="AG101" s="86"/>
    </row>
    <row r="102" spans="33:33" x14ac:dyDescent="0.3">
      <c r="AG102" s="86"/>
    </row>
    <row r="103" spans="33:33" x14ac:dyDescent="0.3">
      <c r="AG103" s="86"/>
    </row>
    <row r="104" spans="33:33" x14ac:dyDescent="0.3">
      <c r="AG104" s="86"/>
    </row>
    <row r="105" spans="33:33" x14ac:dyDescent="0.3">
      <c r="AG105" s="86"/>
    </row>
    <row r="106" spans="33:33" x14ac:dyDescent="0.3">
      <c r="AG106" s="86"/>
    </row>
    <row r="107" spans="33:33" x14ac:dyDescent="0.3">
      <c r="AG107" s="86"/>
    </row>
    <row r="108" spans="33:33" x14ac:dyDescent="0.3">
      <c r="AG108" s="86"/>
    </row>
    <row r="109" spans="33:33" x14ac:dyDescent="0.3">
      <c r="AG109" s="86"/>
    </row>
    <row r="110" spans="33:33" x14ac:dyDescent="0.3">
      <c r="AG110" s="86"/>
    </row>
    <row r="111" spans="33:33" x14ac:dyDescent="0.3">
      <c r="AG111" s="86"/>
    </row>
    <row r="112" spans="33:33" x14ac:dyDescent="0.3">
      <c r="AG112" s="86"/>
    </row>
    <row r="113" spans="33:33" x14ac:dyDescent="0.3">
      <c r="AG113" s="86"/>
    </row>
    <row r="114" spans="33:33" x14ac:dyDescent="0.3">
      <c r="AG114" s="86"/>
    </row>
    <row r="115" spans="33:33" x14ac:dyDescent="0.3">
      <c r="AG115" s="86"/>
    </row>
    <row r="116" spans="33:33" x14ac:dyDescent="0.3">
      <c r="AG116" s="86"/>
    </row>
    <row r="117" spans="33:33" x14ac:dyDescent="0.3">
      <c r="AG117" s="86"/>
    </row>
    <row r="118" spans="33:33" x14ac:dyDescent="0.3">
      <c r="AG118" s="86"/>
    </row>
    <row r="119" spans="33:33" x14ac:dyDescent="0.3">
      <c r="AG119" s="86"/>
    </row>
    <row r="120" spans="33:33" x14ac:dyDescent="0.3">
      <c r="AG120" s="86"/>
    </row>
    <row r="121" spans="33:33" x14ac:dyDescent="0.3">
      <c r="AG121" s="86"/>
    </row>
    <row r="122" spans="33:33" x14ac:dyDescent="0.3">
      <c r="AG122" s="86"/>
    </row>
    <row r="123" spans="33:33" x14ac:dyDescent="0.3">
      <c r="AG123" s="86"/>
    </row>
    <row r="124" spans="33:33" x14ac:dyDescent="0.3">
      <c r="AG124" s="86"/>
    </row>
    <row r="125" spans="33:33" x14ac:dyDescent="0.3">
      <c r="AG125" s="86"/>
    </row>
    <row r="126" spans="33:33" x14ac:dyDescent="0.3">
      <c r="AG126" s="86"/>
    </row>
    <row r="127" spans="33:33" x14ac:dyDescent="0.3">
      <c r="AG127" s="86"/>
    </row>
    <row r="128" spans="33:33" x14ac:dyDescent="0.3">
      <c r="AG128" s="86"/>
    </row>
    <row r="129" spans="33:33" x14ac:dyDescent="0.3">
      <c r="AG129" s="86"/>
    </row>
    <row r="130" spans="33:33" x14ac:dyDescent="0.3">
      <c r="AG130" s="86"/>
    </row>
    <row r="131" spans="33:33" x14ac:dyDescent="0.3">
      <c r="AG131" s="86"/>
    </row>
    <row r="132" spans="33:33" x14ac:dyDescent="0.3">
      <c r="AG132" s="86"/>
    </row>
    <row r="133" spans="33:33" x14ac:dyDescent="0.3">
      <c r="AG133" s="86"/>
    </row>
    <row r="134" spans="33:33" x14ac:dyDescent="0.3">
      <c r="AG134" s="86"/>
    </row>
    <row r="135" spans="33:33" x14ac:dyDescent="0.3">
      <c r="AG135" s="86"/>
    </row>
    <row r="136" spans="33:33" x14ac:dyDescent="0.3">
      <c r="AG136" s="86"/>
    </row>
    <row r="137" spans="33:33" x14ac:dyDescent="0.3">
      <c r="AG137" s="86"/>
    </row>
    <row r="138" spans="33:33" x14ac:dyDescent="0.3">
      <c r="AG138" s="86"/>
    </row>
    <row r="139" spans="33:33" x14ac:dyDescent="0.3">
      <c r="AG139" s="86"/>
    </row>
    <row r="140" spans="33:33" x14ac:dyDescent="0.3">
      <c r="AG140" s="86"/>
    </row>
    <row r="141" spans="33:33" x14ac:dyDescent="0.3">
      <c r="AG141" s="86"/>
    </row>
    <row r="142" spans="33:33" x14ac:dyDescent="0.3">
      <c r="AG142" s="86"/>
    </row>
    <row r="143" spans="33:33" x14ac:dyDescent="0.3">
      <c r="AG143" s="86"/>
    </row>
    <row r="144" spans="33:33" x14ac:dyDescent="0.3">
      <c r="AG144" s="86"/>
    </row>
    <row r="145" spans="33:33" x14ac:dyDescent="0.3">
      <c r="AG145" s="86"/>
    </row>
    <row r="146" spans="33:33" x14ac:dyDescent="0.3">
      <c r="AG146" s="86"/>
    </row>
    <row r="147" spans="33:33" x14ac:dyDescent="0.3">
      <c r="AG147" s="86"/>
    </row>
    <row r="148" spans="33:33" x14ac:dyDescent="0.3">
      <c r="AG148" s="86"/>
    </row>
    <row r="149" spans="33:33" x14ac:dyDescent="0.3">
      <c r="AG149" s="86"/>
    </row>
    <row r="150" spans="33:33" x14ac:dyDescent="0.3">
      <c r="AG150" s="86"/>
    </row>
  </sheetData>
  <mergeCells count="1">
    <mergeCell ref="Y3:Z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7"/>
  <sheetViews>
    <sheetView zoomScale="80" zoomScaleNormal="80" workbookViewId="0">
      <selection activeCell="D72" sqref="D72"/>
    </sheetView>
  </sheetViews>
  <sheetFormatPr defaultColWidth="8.90625" defaultRowHeight="14.4" x14ac:dyDescent="0.3"/>
  <cols>
    <col min="1" max="1" width="21.81640625" style="10" customWidth="1"/>
    <col min="2" max="2" width="11.453125" style="10" customWidth="1"/>
    <col min="3" max="3" width="13.1796875" style="10" customWidth="1"/>
    <col min="4" max="4" width="12" style="10" customWidth="1"/>
    <col min="5" max="5" width="17" style="10" customWidth="1"/>
    <col min="6" max="6" width="9" style="10" customWidth="1"/>
    <col min="7" max="7" width="12.6328125" style="10" customWidth="1"/>
    <col min="8" max="16384" width="8.90625" style="2"/>
  </cols>
  <sheetData>
    <row r="1" spans="1:7" x14ac:dyDescent="0.3">
      <c r="A1" s="1" t="s">
        <v>0</v>
      </c>
      <c r="B1" s="1" t="s">
        <v>4</v>
      </c>
      <c r="C1" s="1" t="s">
        <v>3</v>
      </c>
      <c r="D1" s="1" t="s">
        <v>1</v>
      </c>
      <c r="E1" s="1" t="s">
        <v>2</v>
      </c>
      <c r="F1" s="1"/>
    </row>
    <row r="2" spans="1:7" x14ac:dyDescent="0.3">
      <c r="A2" s="8" t="s">
        <v>11</v>
      </c>
      <c r="B2" s="8" t="s">
        <v>5</v>
      </c>
      <c r="C2" s="9">
        <v>41150</v>
      </c>
      <c r="D2" s="5">
        <v>35.169563404912161</v>
      </c>
      <c r="E2" s="9">
        <v>41451</v>
      </c>
      <c r="F2" s="196" t="s">
        <v>116</v>
      </c>
      <c r="G2" s="12">
        <f>AVERAGE(D2:D3)</f>
        <v>36.557035314582727</v>
      </c>
    </row>
    <row r="3" spans="1:7" x14ac:dyDescent="0.3">
      <c r="A3" s="8" t="s">
        <v>11</v>
      </c>
      <c r="B3" s="8" t="s">
        <v>5</v>
      </c>
      <c r="C3" s="9">
        <v>41150</v>
      </c>
      <c r="D3" s="5">
        <v>37.944507224253293</v>
      </c>
      <c r="E3" s="9">
        <v>41451</v>
      </c>
      <c r="F3" s="196" t="s">
        <v>116</v>
      </c>
      <c r="G3" s="10" t="s">
        <v>6</v>
      </c>
    </row>
    <row r="4" spans="1:7" x14ac:dyDescent="0.3">
      <c r="A4" s="8" t="s">
        <v>10</v>
      </c>
      <c r="B4" s="8" t="s">
        <v>5</v>
      </c>
      <c r="C4" s="9">
        <v>41150</v>
      </c>
      <c r="D4" s="5">
        <v>33.414283887774424</v>
      </c>
      <c r="E4" s="9">
        <v>41451</v>
      </c>
      <c r="F4" s="197"/>
      <c r="G4" s="11"/>
    </row>
    <row r="5" spans="1:7" x14ac:dyDescent="0.3">
      <c r="A5" s="6" t="s">
        <v>9</v>
      </c>
      <c r="B5" s="6" t="s">
        <v>8</v>
      </c>
      <c r="C5" s="7">
        <v>41080</v>
      </c>
      <c r="D5" s="5">
        <v>29.464950321661544</v>
      </c>
      <c r="E5" s="9">
        <v>41451</v>
      </c>
      <c r="F5" s="196" t="s">
        <v>116</v>
      </c>
      <c r="G5" s="198">
        <f>AVERAGE(D5:D6)</f>
        <v>29.58053858449486</v>
      </c>
    </row>
    <row r="6" spans="1:7" x14ac:dyDescent="0.3">
      <c r="A6" s="6" t="s">
        <v>9</v>
      </c>
      <c r="B6" s="6" t="s">
        <v>8</v>
      </c>
      <c r="C6" s="7">
        <v>41080</v>
      </c>
      <c r="D6" s="5">
        <v>29.696126847328181</v>
      </c>
      <c r="E6" s="9">
        <v>41451</v>
      </c>
      <c r="F6" s="196" t="s">
        <v>116</v>
      </c>
      <c r="G6" s="11" t="s">
        <v>12</v>
      </c>
    </row>
    <row r="7" spans="1:7" x14ac:dyDescent="0.3">
      <c r="A7" s="6" t="s">
        <v>118</v>
      </c>
      <c r="B7" s="6" t="s">
        <v>8</v>
      </c>
      <c r="C7" s="7">
        <v>41080</v>
      </c>
      <c r="D7" s="5">
        <v>38.403232522704457</v>
      </c>
      <c r="E7" s="9">
        <v>41451</v>
      </c>
      <c r="F7" s="197"/>
      <c r="G7" s="11"/>
    </row>
    <row r="8" spans="1:7" x14ac:dyDescent="0.3">
      <c r="A8" s="3" t="s">
        <v>117</v>
      </c>
      <c r="B8" s="3" t="s">
        <v>14</v>
      </c>
      <c r="C8" s="4">
        <v>41150</v>
      </c>
      <c r="D8" s="5">
        <v>40.571258545178402</v>
      </c>
      <c r="E8" s="9">
        <v>41451</v>
      </c>
      <c r="F8" s="197"/>
      <c r="G8" s="11"/>
    </row>
    <row r="9" spans="1:7" x14ac:dyDescent="0.3">
      <c r="A9" s="6" t="s">
        <v>124</v>
      </c>
      <c r="B9" s="6" t="s">
        <v>17</v>
      </c>
      <c r="C9" s="7">
        <v>41150</v>
      </c>
      <c r="D9" s="5">
        <v>54.620719550757784</v>
      </c>
      <c r="E9" s="9">
        <v>41451</v>
      </c>
      <c r="F9" s="197"/>
      <c r="G9" s="11"/>
    </row>
    <row r="10" spans="1:7" x14ac:dyDescent="0.3">
      <c r="A10" s="6" t="s">
        <v>125</v>
      </c>
      <c r="B10" s="6" t="s">
        <v>17</v>
      </c>
      <c r="C10" s="7">
        <v>41150</v>
      </c>
      <c r="D10" s="5">
        <v>67.617928295426481</v>
      </c>
      <c r="E10" s="9">
        <v>41451</v>
      </c>
      <c r="F10" s="197"/>
      <c r="G10" s="11"/>
    </row>
    <row r="11" spans="1:7" x14ac:dyDescent="0.3">
      <c r="A11" s="6" t="s">
        <v>126</v>
      </c>
      <c r="B11" s="6" t="s">
        <v>17</v>
      </c>
      <c r="C11" s="7">
        <v>41150</v>
      </c>
      <c r="D11" s="5">
        <v>50.167571175372942</v>
      </c>
      <c r="E11" s="9">
        <v>41451</v>
      </c>
      <c r="F11" s="197"/>
      <c r="G11" s="11"/>
    </row>
    <row r="12" spans="1:7" x14ac:dyDescent="0.3">
      <c r="A12" s="3" t="s">
        <v>127</v>
      </c>
      <c r="B12" s="3" t="s">
        <v>17</v>
      </c>
      <c r="C12" s="4">
        <v>41205</v>
      </c>
      <c r="D12" s="5">
        <v>72.954112865005797</v>
      </c>
      <c r="E12" s="9">
        <v>41451</v>
      </c>
      <c r="F12" s="197"/>
      <c r="G12" s="11"/>
    </row>
    <row r="13" spans="1:7" x14ac:dyDescent="0.3">
      <c r="A13" s="6" t="s">
        <v>122</v>
      </c>
      <c r="B13" s="6" t="s">
        <v>22</v>
      </c>
      <c r="C13" s="7">
        <v>41080</v>
      </c>
      <c r="D13" s="5">
        <v>10.322930730502552</v>
      </c>
      <c r="E13" s="9">
        <v>41451</v>
      </c>
      <c r="F13" s="197"/>
      <c r="G13" s="11"/>
    </row>
    <row r="14" spans="1:7" x14ac:dyDescent="0.3">
      <c r="A14" s="6" t="s">
        <v>128</v>
      </c>
      <c r="B14" s="6" t="s">
        <v>22</v>
      </c>
      <c r="C14" s="7">
        <v>41205</v>
      </c>
      <c r="D14" s="5">
        <v>48.806031651033216</v>
      </c>
      <c r="E14" s="9">
        <v>41451</v>
      </c>
      <c r="F14" s="197"/>
      <c r="G14" s="11"/>
    </row>
    <row r="15" spans="1:7" x14ac:dyDescent="0.3">
      <c r="A15" s="6" t="s">
        <v>129</v>
      </c>
      <c r="B15" s="6" t="s">
        <v>22</v>
      </c>
      <c r="C15" s="7">
        <v>41205</v>
      </c>
      <c r="D15" s="5">
        <v>50.048938703743886</v>
      </c>
      <c r="E15" s="9">
        <v>41451</v>
      </c>
      <c r="F15" s="197"/>
      <c r="G15" s="11"/>
    </row>
    <row r="16" spans="1:7" x14ac:dyDescent="0.3">
      <c r="A16" s="3" t="s">
        <v>130</v>
      </c>
      <c r="B16" s="3" t="s">
        <v>22</v>
      </c>
      <c r="C16" s="4">
        <v>41205</v>
      </c>
      <c r="D16" s="5">
        <v>48.287143050614745</v>
      </c>
      <c r="E16" s="9">
        <v>41451</v>
      </c>
      <c r="F16" s="197"/>
      <c r="G16" s="11"/>
    </row>
    <row r="17" spans="1:7" x14ac:dyDescent="0.3">
      <c r="A17" s="6" t="s">
        <v>131</v>
      </c>
      <c r="B17" s="6" t="s">
        <v>27</v>
      </c>
      <c r="C17" s="7">
        <v>41114</v>
      </c>
      <c r="D17" s="5">
        <v>46.726820309510344</v>
      </c>
      <c r="E17" s="9">
        <v>41451</v>
      </c>
      <c r="F17" s="197"/>
      <c r="G17" s="11"/>
    </row>
    <row r="18" spans="1:7" x14ac:dyDescent="0.3">
      <c r="A18" s="3" t="s">
        <v>132</v>
      </c>
      <c r="B18" s="3" t="s">
        <v>29</v>
      </c>
      <c r="C18" s="4">
        <v>41150</v>
      </c>
      <c r="D18" s="5">
        <v>63.625183766164589</v>
      </c>
      <c r="E18" s="9">
        <v>41451</v>
      </c>
      <c r="F18" s="197"/>
      <c r="G18" s="11"/>
    </row>
    <row r="19" spans="1:7" x14ac:dyDescent="0.3">
      <c r="A19" s="6" t="s">
        <v>133</v>
      </c>
      <c r="B19" s="6" t="s">
        <v>29</v>
      </c>
      <c r="C19" s="7">
        <v>41150</v>
      </c>
      <c r="D19" s="5">
        <v>38.475759527606833</v>
      </c>
      <c r="E19" s="9">
        <v>41451</v>
      </c>
      <c r="F19" s="197"/>
      <c r="G19" s="11"/>
    </row>
    <row r="20" spans="1:7" x14ac:dyDescent="0.3">
      <c r="A20" s="6" t="s">
        <v>134</v>
      </c>
      <c r="B20" s="6" t="s">
        <v>29</v>
      </c>
      <c r="C20" s="7">
        <v>41150</v>
      </c>
      <c r="D20" s="5">
        <v>51.39070634838378</v>
      </c>
      <c r="E20" s="9">
        <v>41451</v>
      </c>
      <c r="F20" s="197"/>
      <c r="G20" s="11"/>
    </row>
    <row r="21" spans="1:7" x14ac:dyDescent="0.3">
      <c r="A21" s="3" t="s">
        <v>136</v>
      </c>
      <c r="B21" s="3" t="s">
        <v>17</v>
      </c>
      <c r="C21" s="4">
        <v>41080</v>
      </c>
      <c r="D21" s="5">
        <v>4.4911915252373147</v>
      </c>
      <c r="E21" s="9">
        <v>41465</v>
      </c>
      <c r="F21" s="196" t="s">
        <v>116</v>
      </c>
      <c r="G21" s="11">
        <f>AVERAGE(D21:D22)</f>
        <v>4.5653745533869614</v>
      </c>
    </row>
    <row r="22" spans="1:7" x14ac:dyDescent="0.3">
      <c r="A22" s="3" t="s">
        <v>136</v>
      </c>
      <c r="B22" s="3" t="s">
        <v>17</v>
      </c>
      <c r="C22" s="4">
        <v>41080</v>
      </c>
      <c r="D22" s="5">
        <v>4.6395575815366081</v>
      </c>
      <c r="E22" s="9">
        <v>41465</v>
      </c>
      <c r="F22" s="196" t="s">
        <v>116</v>
      </c>
      <c r="G22" s="11" t="s">
        <v>160</v>
      </c>
    </row>
    <row r="23" spans="1:7" x14ac:dyDescent="0.3">
      <c r="A23" s="3" t="s">
        <v>138</v>
      </c>
      <c r="B23" s="3" t="s">
        <v>17</v>
      </c>
      <c r="C23" s="4">
        <v>41080</v>
      </c>
      <c r="D23" s="5">
        <v>7.2191207840536</v>
      </c>
      <c r="E23" s="9">
        <v>41465</v>
      </c>
      <c r="F23" s="11"/>
      <c r="G23" s="11"/>
    </row>
    <row r="24" spans="1:7" x14ac:dyDescent="0.3">
      <c r="A24" s="3" t="s">
        <v>139</v>
      </c>
      <c r="B24" s="3" t="s">
        <v>17</v>
      </c>
      <c r="C24" s="4">
        <v>41080</v>
      </c>
      <c r="D24" s="5">
        <v>5.9420437532749952</v>
      </c>
      <c r="E24" s="9">
        <v>41465</v>
      </c>
      <c r="F24" s="11"/>
      <c r="G24" s="11"/>
    </row>
    <row r="25" spans="1:7" x14ac:dyDescent="0.3">
      <c r="A25" s="3" t="s">
        <v>140</v>
      </c>
      <c r="B25" s="3" t="s">
        <v>141</v>
      </c>
      <c r="C25" s="4">
        <v>41150</v>
      </c>
      <c r="D25" s="5">
        <v>38.434013602758498</v>
      </c>
      <c r="E25" s="9">
        <v>41465</v>
      </c>
    </row>
    <row r="26" spans="1:7" x14ac:dyDescent="0.3">
      <c r="A26" s="3" t="s">
        <v>142</v>
      </c>
      <c r="B26" s="3" t="s">
        <v>141</v>
      </c>
      <c r="C26" s="4">
        <v>41150</v>
      </c>
      <c r="D26" s="5">
        <v>34.212433763367052</v>
      </c>
      <c r="E26" s="9">
        <v>41465</v>
      </c>
    </row>
    <row r="27" spans="1:7" x14ac:dyDescent="0.3">
      <c r="A27" s="3" t="s">
        <v>143</v>
      </c>
      <c r="B27" s="3" t="s">
        <v>141</v>
      </c>
      <c r="C27" s="4">
        <v>41150</v>
      </c>
      <c r="D27" s="5">
        <v>10.315337421666028</v>
      </c>
      <c r="E27" s="9">
        <v>41465</v>
      </c>
    </row>
    <row r="28" spans="1:7" x14ac:dyDescent="0.3">
      <c r="A28" s="3" t="s">
        <v>144</v>
      </c>
      <c r="B28" s="3" t="s">
        <v>8</v>
      </c>
      <c r="C28" s="4">
        <v>41116</v>
      </c>
      <c r="D28" s="5">
        <v>34.885406212661614</v>
      </c>
      <c r="E28" s="9">
        <v>41465</v>
      </c>
    </row>
    <row r="29" spans="1:7" x14ac:dyDescent="0.3">
      <c r="A29" s="3" t="s">
        <v>145</v>
      </c>
      <c r="B29" s="3" t="s">
        <v>8</v>
      </c>
      <c r="C29" s="4">
        <v>41116</v>
      </c>
      <c r="D29" s="5">
        <v>33.317512128344561</v>
      </c>
      <c r="E29" s="9">
        <v>41465</v>
      </c>
    </row>
    <row r="30" spans="1:7" x14ac:dyDescent="0.3">
      <c r="A30" s="3" t="s">
        <v>146</v>
      </c>
      <c r="B30" s="3" t="s">
        <v>8</v>
      </c>
      <c r="C30" s="4">
        <v>41116</v>
      </c>
      <c r="D30" s="5">
        <v>41.689548083889051</v>
      </c>
      <c r="E30" s="9">
        <v>41465</v>
      </c>
    </row>
    <row r="31" spans="1:7" x14ac:dyDescent="0.3">
      <c r="A31" s="6" t="s">
        <v>147</v>
      </c>
      <c r="B31" s="3" t="s">
        <v>8</v>
      </c>
      <c r="C31" s="4">
        <v>41116</v>
      </c>
      <c r="D31" s="5">
        <v>4.8601531557348219</v>
      </c>
      <c r="E31" s="9">
        <v>41465</v>
      </c>
      <c r="F31" s="196" t="s">
        <v>116</v>
      </c>
      <c r="G31" s="11">
        <f>AVERAGE(D31:D32)</f>
        <v>4.6141983365317323</v>
      </c>
    </row>
    <row r="32" spans="1:7" x14ac:dyDescent="0.3">
      <c r="A32" s="6" t="s">
        <v>147</v>
      </c>
      <c r="B32" s="3" t="s">
        <v>8</v>
      </c>
      <c r="C32" s="4">
        <v>41116</v>
      </c>
      <c r="D32" s="5">
        <v>4.3682435173286427</v>
      </c>
      <c r="E32" s="9">
        <v>41465</v>
      </c>
      <c r="F32" s="196" t="s">
        <v>116</v>
      </c>
      <c r="G32" s="11" t="s">
        <v>161</v>
      </c>
    </row>
    <row r="33" spans="1:7" x14ac:dyDescent="0.3">
      <c r="A33" s="6" t="s">
        <v>148</v>
      </c>
      <c r="B33" s="6" t="s">
        <v>27</v>
      </c>
      <c r="C33" s="7">
        <v>41149</v>
      </c>
      <c r="D33" s="5">
        <v>15.987293120859681</v>
      </c>
      <c r="E33" s="9">
        <v>41465</v>
      </c>
    </row>
    <row r="34" spans="1:7" x14ac:dyDescent="0.3">
      <c r="A34" s="6" t="s">
        <v>149</v>
      </c>
      <c r="B34" s="6" t="s">
        <v>27</v>
      </c>
      <c r="C34" s="7">
        <v>41149</v>
      </c>
      <c r="D34" s="5">
        <v>13.744582628959025</v>
      </c>
      <c r="E34" s="9">
        <v>41465</v>
      </c>
    </row>
    <row r="35" spans="1:7" x14ac:dyDescent="0.3">
      <c r="A35" s="6" t="s">
        <v>150</v>
      </c>
      <c r="B35" s="6" t="s">
        <v>27</v>
      </c>
      <c r="C35" s="7">
        <v>41149</v>
      </c>
      <c r="D35" s="5">
        <v>12.356603193729466</v>
      </c>
      <c r="E35" s="9">
        <v>41465</v>
      </c>
    </row>
    <row r="36" spans="1:7" x14ac:dyDescent="0.3">
      <c r="A36" s="6" t="s">
        <v>151</v>
      </c>
      <c r="B36" s="6" t="s">
        <v>27</v>
      </c>
      <c r="C36" s="7">
        <v>41081</v>
      </c>
      <c r="D36" s="5">
        <v>36.117283020461976</v>
      </c>
      <c r="E36" s="9">
        <v>41465</v>
      </c>
    </row>
    <row r="37" spans="1:7" x14ac:dyDescent="0.3">
      <c r="A37" s="6" t="s">
        <v>152</v>
      </c>
      <c r="B37" s="6" t="s">
        <v>27</v>
      </c>
      <c r="C37" s="7">
        <v>41081</v>
      </c>
      <c r="D37" s="5">
        <v>10.14422206064825</v>
      </c>
      <c r="E37" s="9">
        <v>41465</v>
      </c>
    </row>
    <row r="38" spans="1:7" x14ac:dyDescent="0.3">
      <c r="A38" s="6" t="s">
        <v>153</v>
      </c>
      <c r="B38" s="6" t="s">
        <v>27</v>
      </c>
      <c r="C38" s="7">
        <v>41081</v>
      </c>
      <c r="D38" s="5">
        <v>13.744128306754995</v>
      </c>
      <c r="E38" s="9">
        <v>41465</v>
      </c>
      <c r="F38" s="11"/>
    </row>
    <row r="39" spans="1:7" x14ac:dyDescent="0.3">
      <c r="A39" s="6" t="s">
        <v>154</v>
      </c>
      <c r="B39" s="6" t="s">
        <v>22</v>
      </c>
      <c r="C39" s="7">
        <v>41116</v>
      </c>
      <c r="D39" s="5">
        <v>50.757129849588708</v>
      </c>
      <c r="E39" s="9">
        <v>41465</v>
      </c>
      <c r="F39" s="11"/>
    </row>
    <row r="40" spans="1:7" x14ac:dyDescent="0.3">
      <c r="A40" s="6" t="s">
        <v>155</v>
      </c>
      <c r="B40" s="6" t="s">
        <v>22</v>
      </c>
      <c r="C40" s="7">
        <v>41116</v>
      </c>
      <c r="D40" s="5">
        <v>55.539718892689656</v>
      </c>
      <c r="E40" s="9">
        <v>41465</v>
      </c>
      <c r="F40" s="11"/>
    </row>
    <row r="41" spans="1:7" x14ac:dyDescent="0.3">
      <c r="A41" s="6" t="s">
        <v>156</v>
      </c>
      <c r="B41" s="6" t="s">
        <v>22</v>
      </c>
      <c r="C41" s="7">
        <v>41116</v>
      </c>
      <c r="D41" s="5">
        <v>70.09700575402195</v>
      </c>
      <c r="E41" s="9">
        <v>41465</v>
      </c>
      <c r="F41" s="11"/>
    </row>
    <row r="42" spans="1:7" x14ac:dyDescent="0.3">
      <c r="A42" s="3" t="s">
        <v>157</v>
      </c>
      <c r="B42" s="6" t="s">
        <v>22</v>
      </c>
      <c r="C42" s="4">
        <v>41080</v>
      </c>
      <c r="D42" s="5">
        <v>36.288916962612497</v>
      </c>
      <c r="E42" s="9">
        <v>41465</v>
      </c>
      <c r="F42" s="11"/>
    </row>
    <row r="43" spans="1:7" x14ac:dyDescent="0.3">
      <c r="A43" s="3" t="s">
        <v>158</v>
      </c>
      <c r="B43" s="6" t="s">
        <v>22</v>
      </c>
      <c r="C43" s="4">
        <v>41080</v>
      </c>
      <c r="D43" s="5">
        <v>38.180886428267996</v>
      </c>
      <c r="E43" s="9">
        <v>41465</v>
      </c>
      <c r="F43" s="11"/>
    </row>
    <row r="44" spans="1:7" x14ac:dyDescent="0.3">
      <c r="A44" s="3" t="s">
        <v>159</v>
      </c>
      <c r="B44" s="6" t="s">
        <v>22</v>
      </c>
      <c r="C44" s="4">
        <v>41080</v>
      </c>
      <c r="D44" s="5">
        <v>40.192084503269157</v>
      </c>
      <c r="E44" s="9">
        <v>41465</v>
      </c>
      <c r="F44" s="11"/>
    </row>
    <row r="45" spans="1:7" x14ac:dyDescent="0.3">
      <c r="A45" s="3" t="s">
        <v>170</v>
      </c>
      <c r="B45" s="3" t="s">
        <v>27</v>
      </c>
      <c r="C45" s="4">
        <v>41081</v>
      </c>
      <c r="D45" s="5">
        <v>52.34200217497083</v>
      </c>
      <c r="E45" s="9">
        <v>41481</v>
      </c>
      <c r="F45" s="11"/>
    </row>
    <row r="46" spans="1:7" x14ac:dyDescent="0.3">
      <c r="A46" s="3" t="s">
        <v>171</v>
      </c>
      <c r="B46" s="3" t="s">
        <v>27</v>
      </c>
      <c r="C46" s="4">
        <v>41081</v>
      </c>
      <c r="D46" s="5">
        <v>45.05473915593543</v>
      </c>
      <c r="E46" s="9">
        <v>41481</v>
      </c>
      <c r="F46" s="11"/>
    </row>
    <row r="47" spans="1:7" x14ac:dyDescent="0.3">
      <c r="A47" s="3" t="s">
        <v>172</v>
      </c>
      <c r="B47" s="3" t="s">
        <v>27</v>
      </c>
      <c r="C47" s="4">
        <v>41081</v>
      </c>
      <c r="D47" s="5">
        <v>47.753160684013501</v>
      </c>
      <c r="E47" s="9">
        <v>41481</v>
      </c>
      <c r="F47" s="196" t="s">
        <v>116</v>
      </c>
      <c r="G47" s="11">
        <f>AVERAGE(D47:D48)</f>
        <v>42.036393499559722</v>
      </c>
    </row>
    <row r="48" spans="1:7" x14ac:dyDescent="0.3">
      <c r="A48" s="3" t="s">
        <v>172</v>
      </c>
      <c r="B48" s="3" t="s">
        <v>27</v>
      </c>
      <c r="C48" s="4">
        <v>41081</v>
      </c>
      <c r="D48" s="5">
        <v>36.319626315105943</v>
      </c>
      <c r="E48" s="9">
        <v>41481</v>
      </c>
      <c r="F48" s="196" t="s">
        <v>116</v>
      </c>
      <c r="G48" s="11" t="s">
        <v>192</v>
      </c>
    </row>
    <row r="49" spans="1:5" x14ac:dyDescent="0.3">
      <c r="A49" s="3" t="s">
        <v>173</v>
      </c>
      <c r="B49" s="3" t="s">
        <v>27</v>
      </c>
      <c r="C49" s="4">
        <v>41081</v>
      </c>
      <c r="D49" s="5">
        <v>53.872466928687366</v>
      </c>
      <c r="E49" s="9">
        <v>41481</v>
      </c>
    </row>
    <row r="50" spans="1:5" x14ac:dyDescent="0.3">
      <c r="A50" s="3" t="s">
        <v>174</v>
      </c>
      <c r="B50" s="3" t="s">
        <v>27</v>
      </c>
      <c r="C50" s="4">
        <v>41081</v>
      </c>
      <c r="D50" s="5">
        <v>54.834483689606913</v>
      </c>
      <c r="E50" s="9">
        <v>41481</v>
      </c>
    </row>
    <row r="51" spans="1:5" x14ac:dyDescent="0.3">
      <c r="A51" s="3" t="s">
        <v>175</v>
      </c>
      <c r="B51" s="3" t="s">
        <v>27</v>
      </c>
      <c r="C51" s="4">
        <v>41081</v>
      </c>
      <c r="D51" s="5">
        <v>57.305118848234095</v>
      </c>
      <c r="E51" s="9">
        <v>41481</v>
      </c>
    </row>
    <row r="52" spans="1:5" x14ac:dyDescent="0.3">
      <c r="A52" s="3" t="s">
        <v>176</v>
      </c>
      <c r="B52" s="3" t="s">
        <v>27</v>
      </c>
      <c r="C52" s="4">
        <v>41081</v>
      </c>
      <c r="D52" s="5">
        <v>58.600234480696074</v>
      </c>
      <c r="E52" s="9">
        <v>41481</v>
      </c>
    </row>
    <row r="53" spans="1:5" x14ac:dyDescent="0.3">
      <c r="A53" s="6" t="s">
        <v>177</v>
      </c>
      <c r="B53" s="3" t="s">
        <v>27</v>
      </c>
      <c r="C53" s="7">
        <v>41114</v>
      </c>
      <c r="D53" s="5">
        <v>53.628348057367305</v>
      </c>
      <c r="E53" s="9">
        <v>41481</v>
      </c>
    </row>
    <row r="54" spans="1:5" x14ac:dyDescent="0.3">
      <c r="A54" s="6" t="s">
        <v>178</v>
      </c>
      <c r="B54" s="3" t="s">
        <v>27</v>
      </c>
      <c r="C54" s="7">
        <v>41114</v>
      </c>
      <c r="D54" s="5">
        <v>73.708818958317551</v>
      </c>
      <c r="E54" s="9">
        <v>41481</v>
      </c>
    </row>
    <row r="55" spans="1:5" x14ac:dyDescent="0.3">
      <c r="A55" s="6" t="s">
        <v>179</v>
      </c>
      <c r="B55" s="3" t="s">
        <v>27</v>
      </c>
      <c r="C55" s="7">
        <v>41114</v>
      </c>
      <c r="D55" s="5">
        <v>55.773989007662038</v>
      </c>
      <c r="E55" s="9">
        <v>41481</v>
      </c>
    </row>
    <row r="56" spans="1:5" x14ac:dyDescent="0.3">
      <c r="A56" s="6" t="s">
        <v>180</v>
      </c>
      <c r="B56" s="3" t="s">
        <v>27</v>
      </c>
      <c r="C56" s="7">
        <v>41114</v>
      </c>
      <c r="D56" s="5">
        <v>55.531152334905258</v>
      </c>
      <c r="E56" s="9">
        <v>41481</v>
      </c>
    </row>
    <row r="57" spans="1:5" x14ac:dyDescent="0.3">
      <c r="A57" s="6" t="s">
        <v>181</v>
      </c>
      <c r="B57" s="3" t="s">
        <v>27</v>
      </c>
      <c r="C57" s="7">
        <v>41114</v>
      </c>
      <c r="D57" s="5">
        <v>56.420847809234004</v>
      </c>
      <c r="E57" s="9">
        <v>41481</v>
      </c>
    </row>
    <row r="58" spans="1:5" x14ac:dyDescent="0.3">
      <c r="A58" s="6" t="s">
        <v>182</v>
      </c>
      <c r="B58" s="3" t="s">
        <v>27</v>
      </c>
      <c r="C58" s="7">
        <v>41114</v>
      </c>
      <c r="D58" s="5">
        <v>58.332422651420892</v>
      </c>
      <c r="E58" s="9">
        <v>41481</v>
      </c>
    </row>
    <row r="59" spans="1:5" x14ac:dyDescent="0.3">
      <c r="A59" s="6" t="s">
        <v>183</v>
      </c>
      <c r="B59" s="3" t="s">
        <v>27</v>
      </c>
      <c r="C59" s="7">
        <v>41114</v>
      </c>
      <c r="D59" s="5">
        <v>53.14255917387937</v>
      </c>
      <c r="E59" s="9">
        <v>41481</v>
      </c>
    </row>
    <row r="60" spans="1:5" x14ac:dyDescent="0.3">
      <c r="A60" s="6" t="s">
        <v>184</v>
      </c>
      <c r="B60" s="6" t="s">
        <v>8</v>
      </c>
      <c r="C60" s="7">
        <v>41150</v>
      </c>
      <c r="D60" s="5">
        <v>7.5409482259158169</v>
      </c>
      <c r="E60" s="9">
        <v>41481</v>
      </c>
    </row>
    <row r="61" spans="1:5" x14ac:dyDescent="0.3">
      <c r="A61" s="6" t="s">
        <v>185</v>
      </c>
      <c r="B61" s="6" t="s">
        <v>8</v>
      </c>
      <c r="C61" s="7">
        <v>41150</v>
      </c>
      <c r="D61" s="5">
        <v>7.8692884024286922</v>
      </c>
      <c r="E61" s="9">
        <v>41481</v>
      </c>
    </row>
    <row r="62" spans="1:5" x14ac:dyDescent="0.3">
      <c r="A62" s="6" t="s">
        <v>186</v>
      </c>
      <c r="B62" s="6" t="s">
        <v>22</v>
      </c>
      <c r="C62" s="7">
        <v>41149</v>
      </c>
      <c r="D62" s="5">
        <v>42.719877246702936</v>
      </c>
      <c r="E62" s="9">
        <v>41481</v>
      </c>
    </row>
    <row r="63" spans="1:5" x14ac:dyDescent="0.3">
      <c r="A63" s="6" t="s">
        <v>187</v>
      </c>
      <c r="B63" s="6" t="s">
        <v>22</v>
      </c>
      <c r="C63" s="7">
        <v>41149</v>
      </c>
      <c r="D63" s="5">
        <v>39.748455701842985</v>
      </c>
      <c r="E63" s="9">
        <v>41481</v>
      </c>
    </row>
    <row r="64" spans="1:5" x14ac:dyDescent="0.3">
      <c r="A64" s="6" t="s">
        <v>188</v>
      </c>
      <c r="B64" s="6" t="s">
        <v>22</v>
      </c>
      <c r="C64" s="7">
        <v>41149</v>
      </c>
      <c r="D64" s="5">
        <v>63.688932664882913</v>
      </c>
      <c r="E64" s="9">
        <v>41481</v>
      </c>
    </row>
    <row r="65" spans="1:7" x14ac:dyDescent="0.3">
      <c r="A65" s="6" t="s">
        <v>189</v>
      </c>
      <c r="B65" s="6" t="s">
        <v>22</v>
      </c>
      <c r="C65" s="7">
        <v>41149</v>
      </c>
      <c r="D65" s="5">
        <v>46.361806144036493</v>
      </c>
      <c r="E65" s="9">
        <v>41481</v>
      </c>
      <c r="F65" s="196" t="s">
        <v>116</v>
      </c>
      <c r="G65" s="11">
        <f>AVERAGE(D65:D66)</f>
        <v>47.82268667241685</v>
      </c>
    </row>
    <row r="66" spans="1:7" x14ac:dyDescent="0.3">
      <c r="A66" s="6" t="s">
        <v>189</v>
      </c>
      <c r="B66" s="6" t="s">
        <v>22</v>
      </c>
      <c r="C66" s="7">
        <v>41149</v>
      </c>
      <c r="D66" s="5">
        <v>49.283567200797201</v>
      </c>
      <c r="E66" s="9">
        <v>41481</v>
      </c>
      <c r="F66" s="196" t="s">
        <v>116</v>
      </c>
      <c r="G66" s="11" t="s">
        <v>193</v>
      </c>
    </row>
    <row r="67" spans="1:7" x14ac:dyDescent="0.3">
      <c r="A67" s="3" t="s">
        <v>190</v>
      </c>
      <c r="B67" s="3" t="s">
        <v>17</v>
      </c>
      <c r="C67" s="4">
        <v>41080</v>
      </c>
      <c r="D67" s="5">
        <v>32.562521544595377</v>
      </c>
      <c r="E67" s="9">
        <v>41481</v>
      </c>
    </row>
    <row r="68" spans="1:7" x14ac:dyDescent="0.3">
      <c r="A68" s="3" t="s">
        <v>191</v>
      </c>
      <c r="B68" s="3" t="s">
        <v>17</v>
      </c>
      <c r="C68" s="4">
        <v>41080</v>
      </c>
      <c r="D68" s="5">
        <v>38.746887833018988</v>
      </c>
      <c r="E68" s="9">
        <v>41481</v>
      </c>
    </row>
    <row r="69" spans="1:7" x14ac:dyDescent="0.3">
      <c r="A69" s="3" t="s">
        <v>203</v>
      </c>
      <c r="B69" s="3" t="s">
        <v>17</v>
      </c>
      <c r="C69" s="4">
        <v>41115</v>
      </c>
      <c r="D69" s="5">
        <v>52.914494755913047</v>
      </c>
      <c r="E69" s="9">
        <v>41500</v>
      </c>
    </row>
    <row r="70" spans="1:7" x14ac:dyDescent="0.3">
      <c r="A70" s="3" t="s">
        <v>204</v>
      </c>
      <c r="B70" s="3" t="s">
        <v>17</v>
      </c>
      <c r="C70" s="4">
        <v>41115</v>
      </c>
      <c r="D70" s="5">
        <v>53.412415544606837</v>
      </c>
      <c r="E70" s="9">
        <v>41500</v>
      </c>
    </row>
    <row r="71" spans="1:7" x14ac:dyDescent="0.3">
      <c r="A71" s="3" t="s">
        <v>205</v>
      </c>
      <c r="B71" s="3" t="s">
        <v>17</v>
      </c>
      <c r="C71" s="4">
        <v>41115</v>
      </c>
      <c r="D71" s="5">
        <v>59.154693209475262</v>
      </c>
      <c r="E71" s="9">
        <v>41500</v>
      </c>
    </row>
    <row r="72" spans="1:7" x14ac:dyDescent="0.3">
      <c r="A72" s="3" t="s">
        <v>206</v>
      </c>
      <c r="B72" s="3" t="s">
        <v>17</v>
      </c>
      <c r="C72" s="4">
        <v>41115</v>
      </c>
      <c r="D72" s="5">
        <v>58.558213507565235</v>
      </c>
      <c r="E72" s="9">
        <v>41500</v>
      </c>
    </row>
    <row r="73" spans="1:7" x14ac:dyDescent="0.3">
      <c r="A73" s="3" t="s">
        <v>207</v>
      </c>
      <c r="B73" s="3" t="s">
        <v>17</v>
      </c>
      <c r="C73" s="4">
        <v>41115</v>
      </c>
      <c r="D73" s="5">
        <v>49.4911223698806</v>
      </c>
      <c r="E73" s="9">
        <v>41500</v>
      </c>
    </row>
    <row r="74" spans="1:7" x14ac:dyDescent="0.3">
      <c r="A74" s="3" t="s">
        <v>208</v>
      </c>
      <c r="B74" s="3" t="s">
        <v>17</v>
      </c>
      <c r="C74" s="4">
        <v>41115</v>
      </c>
      <c r="D74" s="5">
        <v>48.212471645089281</v>
      </c>
      <c r="E74" s="9">
        <v>41500</v>
      </c>
      <c r="F74" s="196" t="s">
        <v>116</v>
      </c>
      <c r="G74" s="11">
        <f>AVERAGE(D74:D75)</f>
        <v>48.239948710915002</v>
      </c>
    </row>
    <row r="75" spans="1:7" x14ac:dyDescent="0.3">
      <c r="A75" s="3" t="s">
        <v>208</v>
      </c>
      <c r="B75" s="3" t="s">
        <v>17</v>
      </c>
      <c r="C75" s="4">
        <v>41115</v>
      </c>
      <c r="D75" s="5">
        <v>48.267425776740723</v>
      </c>
      <c r="E75" s="9">
        <v>41500</v>
      </c>
      <c r="F75" s="196" t="s">
        <v>116</v>
      </c>
      <c r="G75" s="11" t="s">
        <v>12</v>
      </c>
    </row>
    <row r="76" spans="1:7" x14ac:dyDescent="0.3">
      <c r="A76" s="3" t="s">
        <v>209</v>
      </c>
      <c r="B76" s="3" t="s">
        <v>17</v>
      </c>
      <c r="C76" s="4">
        <v>41115</v>
      </c>
      <c r="D76" s="5">
        <v>46.421425188443415</v>
      </c>
      <c r="E76" s="9">
        <v>41500</v>
      </c>
    </row>
    <row r="77" spans="1:7" x14ac:dyDescent="0.3">
      <c r="A77" s="3" t="s">
        <v>210</v>
      </c>
      <c r="B77" s="3" t="s">
        <v>17</v>
      </c>
      <c r="C77" s="7">
        <v>41080</v>
      </c>
      <c r="D77" s="5">
        <v>44.77861251045443</v>
      </c>
      <c r="E77" s="9">
        <v>41500</v>
      </c>
    </row>
    <row r="78" spans="1:7" x14ac:dyDescent="0.3">
      <c r="A78" s="3" t="s">
        <v>211</v>
      </c>
      <c r="B78" s="3" t="s">
        <v>17</v>
      </c>
      <c r="C78" s="7">
        <v>41080</v>
      </c>
      <c r="D78" s="5">
        <v>43.154478712326181</v>
      </c>
      <c r="E78" s="9">
        <v>41500</v>
      </c>
    </row>
    <row r="79" spans="1:7" x14ac:dyDescent="0.3">
      <c r="A79" s="3" t="s">
        <v>212</v>
      </c>
      <c r="B79" s="3" t="s">
        <v>17</v>
      </c>
      <c r="C79" s="7">
        <v>41080</v>
      </c>
      <c r="D79" s="5">
        <v>40.362528369533635</v>
      </c>
      <c r="E79" s="9">
        <v>41500</v>
      </c>
    </row>
    <row r="80" spans="1:7" x14ac:dyDescent="0.3">
      <c r="A80" s="3" t="s">
        <v>213</v>
      </c>
      <c r="B80" s="6" t="s">
        <v>27</v>
      </c>
      <c r="C80" s="7">
        <v>41149</v>
      </c>
      <c r="D80" s="5">
        <v>72.447682953177875</v>
      </c>
      <c r="E80" s="9">
        <v>41500</v>
      </c>
    </row>
    <row r="81" spans="1:10" x14ac:dyDescent="0.3">
      <c r="A81" s="3" t="s">
        <v>214</v>
      </c>
      <c r="B81" s="6" t="s">
        <v>27</v>
      </c>
      <c r="C81" s="7">
        <v>41149</v>
      </c>
      <c r="D81" s="5">
        <v>61.019570934522591</v>
      </c>
      <c r="E81" s="9">
        <v>41500</v>
      </c>
    </row>
    <row r="82" spans="1:10" x14ac:dyDescent="0.3">
      <c r="A82" s="3" t="s">
        <v>215</v>
      </c>
      <c r="B82" s="6" t="s">
        <v>27</v>
      </c>
      <c r="C82" s="7">
        <v>41149</v>
      </c>
      <c r="D82" s="5">
        <v>76.957198780836677</v>
      </c>
      <c r="E82" s="9">
        <v>41500</v>
      </c>
    </row>
    <row r="83" spans="1:10" x14ac:dyDescent="0.3">
      <c r="A83" s="3" t="s">
        <v>216</v>
      </c>
      <c r="B83" s="6" t="s">
        <v>27</v>
      </c>
      <c r="C83" s="7">
        <v>41149</v>
      </c>
      <c r="D83" s="5">
        <v>65.562492802149563</v>
      </c>
      <c r="E83" s="9">
        <v>41500</v>
      </c>
      <c r="F83" s="196" t="s">
        <v>116</v>
      </c>
      <c r="G83" s="11">
        <f>AVERAGE(D83:D84)</f>
        <v>63.545644221714575</v>
      </c>
    </row>
    <row r="84" spans="1:10" x14ac:dyDescent="0.3">
      <c r="A84" s="3" t="s">
        <v>216</v>
      </c>
      <c r="B84" s="6" t="s">
        <v>27</v>
      </c>
      <c r="C84" s="7">
        <v>41149</v>
      </c>
      <c r="D84" s="5">
        <v>61.528795641279586</v>
      </c>
      <c r="E84" s="9">
        <v>41500</v>
      </c>
      <c r="F84" s="196" t="s">
        <v>116</v>
      </c>
      <c r="G84" s="11" t="s">
        <v>220</v>
      </c>
    </row>
    <row r="85" spans="1:10" x14ac:dyDescent="0.3">
      <c r="A85" s="3" t="s">
        <v>217</v>
      </c>
      <c r="B85" s="6" t="s">
        <v>27</v>
      </c>
      <c r="C85" s="7">
        <v>41149</v>
      </c>
      <c r="D85" s="5">
        <v>62.587662587721361</v>
      </c>
      <c r="E85" s="9">
        <v>41500</v>
      </c>
    </row>
    <row r="86" spans="1:10" x14ac:dyDescent="0.3">
      <c r="A86" s="3" t="s">
        <v>218</v>
      </c>
      <c r="B86" s="6" t="s">
        <v>27</v>
      </c>
      <c r="C86" s="7">
        <v>41149</v>
      </c>
      <c r="D86" s="5">
        <v>58.135314232851123</v>
      </c>
      <c r="E86" s="9">
        <v>41500</v>
      </c>
    </row>
    <row r="87" spans="1:10" x14ac:dyDescent="0.3">
      <c r="A87" s="3" t="s">
        <v>219</v>
      </c>
      <c r="B87" s="6" t="s">
        <v>27</v>
      </c>
      <c r="C87" s="7">
        <v>41149</v>
      </c>
      <c r="D87" s="5">
        <v>52.453137759513233</v>
      </c>
      <c r="E87" s="9">
        <v>41500</v>
      </c>
    </row>
    <row r="88" spans="1:10" x14ac:dyDescent="0.3">
      <c r="A88" s="11"/>
      <c r="B88" s="11"/>
      <c r="C88" s="11"/>
      <c r="D88" s="11"/>
    </row>
    <row r="89" spans="1:10" x14ac:dyDescent="0.3">
      <c r="A89" s="11"/>
      <c r="B89" s="11"/>
      <c r="C89" s="11"/>
      <c r="D89" s="11"/>
    </row>
    <row r="90" spans="1:10" x14ac:dyDescent="0.3">
      <c r="A90" s="199" t="s">
        <v>307</v>
      </c>
      <c r="B90" s="199" t="s">
        <v>315</v>
      </c>
      <c r="C90" s="199" t="s">
        <v>308</v>
      </c>
      <c r="D90" s="199" t="s">
        <v>316</v>
      </c>
      <c r="E90" s="199" t="s">
        <v>309</v>
      </c>
      <c r="F90" s="199" t="s">
        <v>310</v>
      </c>
      <c r="G90" s="200" t="s">
        <v>311</v>
      </c>
      <c r="H90" s="200" t="s">
        <v>312</v>
      </c>
      <c r="I90" s="200" t="s">
        <v>313</v>
      </c>
      <c r="J90" s="200" t="s">
        <v>65</v>
      </c>
    </row>
    <row r="91" spans="1:10" x14ac:dyDescent="0.3">
      <c r="A91" s="11" t="s">
        <v>314</v>
      </c>
      <c r="B91" s="11">
        <v>152</v>
      </c>
      <c r="C91" s="11">
        <v>133.8757977348487</v>
      </c>
      <c r="D91" s="11">
        <f>(C91/152)</f>
        <v>0.88076182720295204</v>
      </c>
      <c r="E91" s="11">
        <f>AVERAGE(C91:C99)</f>
        <v>142.15837159649749</v>
      </c>
      <c r="F91" s="11">
        <f>_xlfn.STDEV.S(C91:C99)</f>
        <v>5.8328765606537107</v>
      </c>
      <c r="G91" s="10">
        <f>(E91/B91)</f>
        <v>0.93525244471379931</v>
      </c>
      <c r="H91" s="10">
        <f>(G91*100)</f>
        <v>93.525244471379935</v>
      </c>
      <c r="I91" s="10">
        <f>_xlfn.STDEV.S(D91:D99)</f>
        <v>3.8374187899037564E-2</v>
      </c>
      <c r="J91" s="2">
        <f>(I91*100)</f>
        <v>3.8374187899037562</v>
      </c>
    </row>
    <row r="92" spans="1:10" x14ac:dyDescent="0.3">
      <c r="A92" s="11" t="s">
        <v>314</v>
      </c>
      <c r="B92" s="11"/>
      <c r="C92" s="11">
        <v>134.16594285263022</v>
      </c>
      <c r="D92" s="11">
        <f t="shared" ref="D92:D99" si="0">(C92/152)</f>
        <v>0.88267067666204091</v>
      </c>
      <c r="E92" s="11"/>
      <c r="F92" s="11"/>
      <c r="H92" s="10"/>
      <c r="I92" s="10"/>
    </row>
    <row r="93" spans="1:10" x14ac:dyDescent="0.3">
      <c r="A93" s="11" t="s">
        <v>314</v>
      </c>
      <c r="B93" s="11"/>
      <c r="C93" s="10">
        <v>148.5173008995184</v>
      </c>
      <c r="D93" s="11">
        <f t="shared" si="0"/>
        <v>0.97708750591788418</v>
      </c>
      <c r="H93" s="10"/>
      <c r="I93" s="10"/>
    </row>
    <row r="94" spans="1:10" x14ac:dyDescent="0.3">
      <c r="A94" s="11" t="s">
        <v>314</v>
      </c>
      <c r="B94" s="11"/>
      <c r="C94" s="10">
        <v>151.15610174763364</v>
      </c>
      <c r="D94" s="11">
        <f t="shared" si="0"/>
        <v>0.9944480378133792</v>
      </c>
      <c r="H94" s="10"/>
      <c r="I94" s="10"/>
    </row>
    <row r="95" spans="1:10" x14ac:dyDescent="0.3">
      <c r="A95" s="11" t="s">
        <v>314</v>
      </c>
      <c r="B95" s="11"/>
      <c r="C95" s="10">
        <v>144.12009607049998</v>
      </c>
      <c r="D95" s="11">
        <f t="shared" si="0"/>
        <v>0.9481585267796051</v>
      </c>
      <c r="H95" s="10"/>
      <c r="I95" s="10"/>
    </row>
    <row r="96" spans="1:10" x14ac:dyDescent="0.3">
      <c r="A96" s="11" t="s">
        <v>314</v>
      </c>
      <c r="B96" s="11"/>
      <c r="C96" s="10">
        <v>144.95918385184387</v>
      </c>
      <c r="D96" s="11">
        <f t="shared" si="0"/>
        <v>0.95367884113055179</v>
      </c>
      <c r="H96" s="10"/>
      <c r="I96" s="10"/>
    </row>
    <row r="97" spans="1:10" x14ac:dyDescent="0.3">
      <c r="A97" s="11" t="s">
        <v>314</v>
      </c>
      <c r="B97" s="11"/>
      <c r="C97" s="10">
        <v>140.46872695103886</v>
      </c>
      <c r="D97" s="11">
        <f t="shared" si="0"/>
        <v>0.92413636151999246</v>
      </c>
      <c r="H97" s="10"/>
      <c r="I97" s="10"/>
    </row>
    <row r="98" spans="1:10" x14ac:dyDescent="0.3">
      <c r="A98" s="11" t="s">
        <v>314</v>
      </c>
      <c r="B98" s="11"/>
      <c r="C98" s="10">
        <v>141.92834657425058</v>
      </c>
      <c r="D98" s="11">
        <f t="shared" si="0"/>
        <v>0.933739122199017</v>
      </c>
      <c r="H98" s="10"/>
      <c r="I98" s="10"/>
    </row>
    <row r="99" spans="1:10" x14ac:dyDescent="0.3">
      <c r="A99" s="11" t="s">
        <v>314</v>
      </c>
      <c r="B99" s="11"/>
      <c r="C99" s="10">
        <v>140.23384768621315</v>
      </c>
      <c r="D99" s="11">
        <f t="shared" si="0"/>
        <v>0.92259110319877069</v>
      </c>
      <c r="H99" s="10"/>
      <c r="I99" s="10"/>
    </row>
    <row r="100" spans="1:10" x14ac:dyDescent="0.3">
      <c r="A100" s="10" t="s">
        <v>81</v>
      </c>
      <c r="B100" s="10">
        <v>28.09</v>
      </c>
      <c r="C100" s="10">
        <v>23.688807384480143</v>
      </c>
      <c r="D100" s="10">
        <f>(C100/28.09)</f>
        <v>0.84331816961481465</v>
      </c>
      <c r="E100" s="10">
        <f>AVERAGE(C100:C107)</f>
        <v>23.659555687147723</v>
      </c>
      <c r="F100" s="10">
        <f>_xlfn.STDEV.S(C100:C107)</f>
        <v>0.57765830311778277</v>
      </c>
      <c r="G100" s="10">
        <f>(E100/B100)</f>
        <v>0.84227681335520554</v>
      </c>
      <c r="H100" s="2">
        <f>(G100*100)</f>
        <v>84.227681335520558</v>
      </c>
      <c r="I100" s="2">
        <f>_xlfn.STDEV.S(D100:D107)</f>
        <v>2.0564553332779737E-2</v>
      </c>
      <c r="J100" s="2">
        <f>(I100*100)</f>
        <v>2.0564553332779738</v>
      </c>
    </row>
    <row r="101" spans="1:10" x14ac:dyDescent="0.3">
      <c r="A101" s="10" t="s">
        <v>81</v>
      </c>
      <c r="C101" s="10">
        <v>23.525076464272104</v>
      </c>
      <c r="D101" s="10">
        <f t="shared" ref="D101:D107" si="1">(C101/28.09)</f>
        <v>0.83748937217059827</v>
      </c>
    </row>
    <row r="102" spans="1:10" x14ac:dyDescent="0.3">
      <c r="A102" s="10" t="s">
        <v>81</v>
      </c>
      <c r="C102" s="10">
        <v>24.604886541732412</v>
      </c>
      <c r="D102" s="10">
        <f t="shared" si="1"/>
        <v>0.87593045716384521</v>
      </c>
    </row>
    <row r="103" spans="1:10" x14ac:dyDescent="0.3">
      <c r="A103" s="10" t="s">
        <v>81</v>
      </c>
      <c r="C103" s="10">
        <v>22.907935461087504</v>
      </c>
      <c r="D103" s="10">
        <f t="shared" si="1"/>
        <v>0.8155192403377538</v>
      </c>
    </row>
    <row r="104" spans="1:10" x14ac:dyDescent="0.3">
      <c r="A104" s="10" t="s">
        <v>81</v>
      </c>
      <c r="C104" s="10">
        <v>24.373509113617775</v>
      </c>
      <c r="D104" s="10">
        <f t="shared" si="1"/>
        <v>0.86769345367097817</v>
      </c>
    </row>
    <row r="105" spans="1:10" x14ac:dyDescent="0.3">
      <c r="A105" s="10" t="s">
        <v>81</v>
      </c>
      <c r="C105" s="10">
        <v>23.182781960597023</v>
      </c>
      <c r="D105" s="10">
        <f t="shared" si="1"/>
        <v>0.82530373658230771</v>
      </c>
    </row>
    <row r="106" spans="1:10" x14ac:dyDescent="0.3">
      <c r="A106" s="10" t="s">
        <v>81</v>
      </c>
      <c r="C106" s="10">
        <v>23.681425777296432</v>
      </c>
      <c r="D106" s="10">
        <f t="shared" si="1"/>
        <v>0.84305538545021119</v>
      </c>
    </row>
    <row r="107" spans="1:10" x14ac:dyDescent="0.3">
      <c r="A107" s="10" t="s">
        <v>81</v>
      </c>
      <c r="C107" s="10">
        <v>23.31202279409839</v>
      </c>
      <c r="D107" s="10">
        <f t="shared" si="1"/>
        <v>0.82990469185113525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70"/>
  <sheetViews>
    <sheetView zoomScale="80" zoomScaleNormal="80" workbookViewId="0">
      <selection activeCell="B34" sqref="B34"/>
    </sheetView>
  </sheetViews>
  <sheetFormatPr defaultColWidth="8.90625" defaultRowHeight="14.4" x14ac:dyDescent="0.3"/>
  <cols>
    <col min="1" max="1" width="21" style="2" bestFit="1" customWidth="1"/>
    <col min="2" max="2" width="20.1796875" style="2" bestFit="1" customWidth="1"/>
    <col min="3" max="3" width="12.1796875" style="2" bestFit="1" customWidth="1"/>
    <col min="4" max="4" width="9.81640625" style="2" bestFit="1" customWidth="1"/>
    <col min="5" max="5" width="16.26953125" style="2" bestFit="1" customWidth="1"/>
    <col min="6" max="8" width="9.81640625" style="2" bestFit="1" customWidth="1"/>
    <col min="9" max="9" width="21" style="2" bestFit="1" customWidth="1"/>
    <col min="10" max="10" width="9.81640625" style="2" bestFit="1" customWidth="1"/>
    <col min="11" max="11" width="7.7265625" style="2" bestFit="1" customWidth="1"/>
    <col min="12" max="12" width="6.453125" style="2" bestFit="1" customWidth="1"/>
    <col min="13" max="13" width="16.26953125" style="2" bestFit="1" customWidth="1"/>
    <col min="14" max="16" width="9.81640625" style="2" bestFit="1" customWidth="1"/>
    <col min="17" max="17" width="21.26953125" style="2" bestFit="1" customWidth="1"/>
    <col min="18" max="18" width="19.54296875" style="2" customWidth="1"/>
    <col min="19" max="16384" width="8.90625" style="2"/>
  </cols>
  <sheetData>
    <row r="1" spans="1:23" x14ac:dyDescent="0.3">
      <c r="A1" s="13" t="s">
        <v>227</v>
      </c>
      <c r="B1" s="13" t="s">
        <v>228</v>
      </c>
      <c r="C1" s="13" t="s">
        <v>229</v>
      </c>
      <c r="D1" s="13" t="s">
        <v>230</v>
      </c>
      <c r="E1" s="13" t="s">
        <v>231</v>
      </c>
      <c r="F1" s="13" t="s">
        <v>327</v>
      </c>
      <c r="G1" s="13" t="s">
        <v>232</v>
      </c>
      <c r="H1" s="13" t="s">
        <v>325</v>
      </c>
      <c r="I1" s="13" t="s">
        <v>227</v>
      </c>
      <c r="J1" s="13" t="s">
        <v>228</v>
      </c>
      <c r="K1" s="13" t="s">
        <v>229</v>
      </c>
      <c r="L1" s="13" t="s">
        <v>230</v>
      </c>
      <c r="M1" s="13" t="s">
        <v>231</v>
      </c>
      <c r="N1" s="13" t="s">
        <v>45</v>
      </c>
      <c r="O1" s="13" t="s">
        <v>232</v>
      </c>
      <c r="P1" s="83" t="s">
        <v>325</v>
      </c>
      <c r="Q1" s="13" t="s">
        <v>227</v>
      </c>
      <c r="R1" s="13" t="s">
        <v>228</v>
      </c>
      <c r="S1" s="13" t="s">
        <v>229</v>
      </c>
      <c r="T1" s="13" t="s">
        <v>230</v>
      </c>
      <c r="U1" s="13" t="s">
        <v>231</v>
      </c>
      <c r="V1" s="13" t="s">
        <v>45</v>
      </c>
      <c r="W1" s="13" t="s">
        <v>326</v>
      </c>
    </row>
    <row r="2" spans="1:23" x14ac:dyDescent="0.3">
      <c r="A2" s="15" t="s">
        <v>233</v>
      </c>
      <c r="B2" s="15">
        <v>1.0000000000000001E-5</v>
      </c>
      <c r="C2" s="15">
        <v>0</v>
      </c>
      <c r="D2" s="16">
        <f t="shared" ref="D2:D59" si="0">C2*1000</f>
        <v>0</v>
      </c>
      <c r="E2" s="15"/>
      <c r="F2" s="15">
        <v>0.2</v>
      </c>
      <c r="G2" s="15">
        <v>6.9999999999999999E-4</v>
      </c>
      <c r="I2" s="15" t="s">
        <v>233</v>
      </c>
      <c r="J2" s="15">
        <v>1.0000000000000001E-5</v>
      </c>
      <c r="K2" s="15">
        <v>0</v>
      </c>
      <c r="L2" s="16">
        <f>K2*1000</f>
        <v>0</v>
      </c>
      <c r="M2" s="15"/>
      <c r="N2" s="15">
        <v>0.2</v>
      </c>
      <c r="O2" s="15">
        <v>6.9999999999999999E-4</v>
      </c>
      <c r="P2" s="14"/>
      <c r="Q2" s="15" t="s">
        <v>233</v>
      </c>
      <c r="R2" s="15">
        <v>5.3499999999999997E-3</v>
      </c>
      <c r="S2" s="15">
        <v>3.0000000000000001E-5</v>
      </c>
      <c r="T2" s="16">
        <f>S2*1000</f>
        <v>3.0000000000000002E-2</v>
      </c>
      <c r="U2" s="15"/>
      <c r="V2" s="15">
        <v>0.2</v>
      </c>
    </row>
    <row r="3" spans="1:23" x14ac:dyDescent="0.3">
      <c r="A3" s="15" t="s">
        <v>233</v>
      </c>
      <c r="B3" s="15">
        <v>1.92E-3</v>
      </c>
      <c r="C3" s="15">
        <v>1.0000000000000001E-5</v>
      </c>
      <c r="D3" s="16">
        <f t="shared" si="0"/>
        <v>0.01</v>
      </c>
      <c r="E3" s="15"/>
      <c r="F3" s="15">
        <v>0.2</v>
      </c>
      <c r="G3" s="15">
        <v>1.9E-3</v>
      </c>
      <c r="I3" s="15" t="s">
        <v>233</v>
      </c>
      <c r="J3" s="15">
        <v>1.92E-3</v>
      </c>
      <c r="K3" s="15">
        <v>1.0000000000000001E-5</v>
      </c>
      <c r="L3" s="16">
        <f t="shared" ref="L3:L55" si="1">K3*1000</f>
        <v>0.01</v>
      </c>
      <c r="M3" s="15"/>
      <c r="N3" s="15">
        <v>0.2</v>
      </c>
      <c r="O3" s="15">
        <v>1.9E-3</v>
      </c>
      <c r="P3" s="14"/>
      <c r="Q3" s="15" t="s">
        <v>233</v>
      </c>
      <c r="R3" s="15">
        <v>1.9089999999999999E-2</v>
      </c>
      <c r="S3" s="15">
        <v>1E-4</v>
      </c>
      <c r="T3" s="16">
        <f t="shared" ref="T3:T34" si="2">S3*1000</f>
        <v>0.1</v>
      </c>
      <c r="U3" s="15"/>
      <c r="V3" s="15">
        <v>0.2</v>
      </c>
    </row>
    <row r="4" spans="1:23" x14ac:dyDescent="0.3">
      <c r="A4" s="15" t="s">
        <v>233</v>
      </c>
      <c r="B4" s="15">
        <v>1.0000000000000001E-5</v>
      </c>
      <c r="C4" s="15">
        <v>0</v>
      </c>
      <c r="D4" s="16">
        <f t="shared" si="0"/>
        <v>0</v>
      </c>
      <c r="E4" s="15"/>
      <c r="F4" s="15">
        <v>0.2</v>
      </c>
      <c r="G4" s="15">
        <v>1.4E-3</v>
      </c>
      <c r="I4" s="15" t="s">
        <v>233</v>
      </c>
      <c r="J4" s="15">
        <v>1.0000000000000001E-5</v>
      </c>
      <c r="K4" s="15">
        <v>0</v>
      </c>
      <c r="L4" s="16">
        <f t="shared" si="1"/>
        <v>0</v>
      </c>
      <c r="M4" s="15"/>
      <c r="N4" s="15">
        <v>0.2</v>
      </c>
      <c r="O4" s="15">
        <v>1.4E-3</v>
      </c>
      <c r="P4" s="14"/>
      <c r="Q4" s="15" t="s">
        <v>233</v>
      </c>
      <c r="R4" s="15">
        <v>1.0000000000000001E-5</v>
      </c>
      <c r="S4" s="15">
        <v>0</v>
      </c>
      <c r="T4" s="16">
        <f t="shared" si="2"/>
        <v>0</v>
      </c>
      <c r="U4" s="15"/>
      <c r="V4" s="15">
        <v>0.2</v>
      </c>
    </row>
    <row r="5" spans="1:23" x14ac:dyDescent="0.3">
      <c r="A5" s="15" t="s">
        <v>234</v>
      </c>
      <c r="B5" s="15">
        <v>7.8287500000000003</v>
      </c>
      <c r="C5" s="15">
        <v>5.8860000000000003E-2</v>
      </c>
      <c r="D5" s="16">
        <f t="shared" si="0"/>
        <v>58.86</v>
      </c>
      <c r="E5" s="15" t="s">
        <v>235</v>
      </c>
      <c r="F5" s="15">
        <v>0.13300000000000001</v>
      </c>
      <c r="G5" s="15">
        <v>0.40647</v>
      </c>
      <c r="H5" s="2">
        <f>(D5/61)</f>
        <v>0.96491803278688526</v>
      </c>
      <c r="I5" s="15" t="s">
        <v>234</v>
      </c>
      <c r="J5" s="15">
        <v>7.8287500000000003</v>
      </c>
      <c r="K5" s="15">
        <v>5.8860000000000003E-2</v>
      </c>
      <c r="L5" s="16">
        <f t="shared" si="1"/>
        <v>58.86</v>
      </c>
      <c r="M5" s="15" t="s">
        <v>235</v>
      </c>
      <c r="N5" s="15">
        <v>0.13300000000000001</v>
      </c>
      <c r="O5" s="15">
        <v>0.40647</v>
      </c>
      <c r="P5" s="14">
        <f>(L5/61)</f>
        <v>0.96491803278688526</v>
      </c>
      <c r="Q5" s="15" t="s">
        <v>236</v>
      </c>
      <c r="R5" s="15">
        <v>2.50082</v>
      </c>
      <c r="S5" s="15">
        <v>5.9119999999999999E-2</v>
      </c>
      <c r="T5" s="16">
        <f t="shared" si="2"/>
        <v>59.12</v>
      </c>
      <c r="U5" s="15" t="s">
        <v>235</v>
      </c>
      <c r="V5" s="15">
        <v>4.2299999999999997E-2</v>
      </c>
      <c r="W5" s="2">
        <f>(T5/61)</f>
        <v>0.96918032786885244</v>
      </c>
    </row>
    <row r="6" spans="1:23" x14ac:dyDescent="0.3">
      <c r="A6" s="15" t="s">
        <v>237</v>
      </c>
      <c r="B6" s="15">
        <v>5.6855799999999999</v>
      </c>
      <c r="C6" s="15">
        <v>8.9959999999999998E-2</v>
      </c>
      <c r="D6" s="16">
        <f t="shared" si="0"/>
        <v>89.96</v>
      </c>
      <c r="E6" s="15" t="s">
        <v>238</v>
      </c>
      <c r="F6" s="15">
        <v>6.3200000000000006E-2</v>
      </c>
      <c r="G6" s="15">
        <v>0.30586999999999998</v>
      </c>
      <c r="H6" s="2">
        <f>(D6/91)</f>
        <v>0.98857142857142855</v>
      </c>
      <c r="I6" s="15" t="s">
        <v>237</v>
      </c>
      <c r="J6" s="15">
        <v>5.6855799999999999</v>
      </c>
      <c r="K6" s="15">
        <v>8.9959999999999998E-2</v>
      </c>
      <c r="L6" s="16">
        <f t="shared" si="1"/>
        <v>89.96</v>
      </c>
      <c r="M6" s="15" t="s">
        <v>238</v>
      </c>
      <c r="N6" s="15">
        <v>6.3200000000000006E-2</v>
      </c>
      <c r="O6" s="15">
        <v>0.30586999999999998</v>
      </c>
      <c r="P6" s="2">
        <f>(L6/91)</f>
        <v>0.98857142857142855</v>
      </c>
      <c r="Q6" s="15" t="s">
        <v>237</v>
      </c>
      <c r="R6" s="15">
        <v>5.1674499999999997</v>
      </c>
      <c r="S6" s="15">
        <v>9.146E-2</v>
      </c>
      <c r="T6" s="16">
        <f t="shared" si="2"/>
        <v>91.46</v>
      </c>
      <c r="U6" s="15" t="s">
        <v>238</v>
      </c>
      <c r="V6" s="15">
        <v>5.6500000000000002E-2</v>
      </c>
      <c r="W6" s="2">
        <f>(T6/91)</f>
        <v>1.0050549450549451</v>
      </c>
    </row>
    <row r="7" spans="1:23" x14ac:dyDescent="0.3">
      <c r="A7" s="15" t="s">
        <v>239</v>
      </c>
      <c r="B7" s="15">
        <v>11.14504</v>
      </c>
      <c r="C7" s="15">
        <v>0.27723999999999999</v>
      </c>
      <c r="D7" s="16">
        <f t="shared" si="0"/>
        <v>277.24</v>
      </c>
      <c r="E7" s="15" t="s">
        <v>240</v>
      </c>
      <c r="F7" s="15">
        <v>4.02E-2</v>
      </c>
      <c r="G7" s="15">
        <v>0.54698999999999998</v>
      </c>
      <c r="H7" s="2">
        <f>(D7/270)</f>
        <v>1.0268148148148148</v>
      </c>
      <c r="I7" s="15" t="s">
        <v>239</v>
      </c>
      <c r="J7" s="15">
        <v>11.14504</v>
      </c>
      <c r="K7" s="15">
        <v>0.27723999999999999</v>
      </c>
      <c r="L7" s="16">
        <f t="shared" si="1"/>
        <v>277.24</v>
      </c>
      <c r="M7" s="15" t="s">
        <v>240</v>
      </c>
      <c r="N7" s="15">
        <v>4.02E-2</v>
      </c>
      <c r="O7" s="15">
        <v>0.54698999999999998</v>
      </c>
      <c r="P7" s="14">
        <f>(L7/270)</f>
        <v>1.0268148148148148</v>
      </c>
      <c r="Q7" s="15" t="s">
        <v>239</v>
      </c>
      <c r="R7" s="15">
        <v>11.0106</v>
      </c>
      <c r="S7" s="15">
        <v>0.27734999999999999</v>
      </c>
      <c r="T7" s="16">
        <f t="shared" si="2"/>
        <v>277.34999999999997</v>
      </c>
      <c r="U7" s="15" t="s">
        <v>240</v>
      </c>
      <c r="V7" s="15">
        <v>3.9699999999999999E-2</v>
      </c>
      <c r="W7" s="2">
        <f>(T7/270)</f>
        <v>1.027222222222222</v>
      </c>
    </row>
    <row r="8" spans="1:23" x14ac:dyDescent="0.3">
      <c r="A8" s="15" t="s">
        <v>241</v>
      </c>
      <c r="B8" s="15">
        <v>0.84143000000000001</v>
      </c>
      <c r="C8" s="15">
        <v>1.7600000000000001E-2</v>
      </c>
      <c r="D8" s="16">
        <f t="shared" si="0"/>
        <v>17.600000000000001</v>
      </c>
      <c r="E8" s="15"/>
      <c r="F8" s="15">
        <v>4.7800000000000002E-2</v>
      </c>
      <c r="G8" s="15">
        <v>5.0200000000000002E-2</v>
      </c>
      <c r="I8" s="15" t="s">
        <v>241</v>
      </c>
      <c r="J8" s="16">
        <v>0.78049000000000002</v>
      </c>
      <c r="K8" s="16">
        <v>1.7794999999999998E-2</v>
      </c>
      <c r="L8" s="16">
        <f t="shared" si="1"/>
        <v>17.794999999999998</v>
      </c>
      <c r="M8" s="15"/>
      <c r="N8" s="16">
        <v>4.3900000000000002E-2</v>
      </c>
      <c r="O8" s="16">
        <v>4.6730000000000001E-2</v>
      </c>
      <c r="P8" s="14"/>
      <c r="Q8" s="15" t="s">
        <v>242</v>
      </c>
      <c r="R8" s="15">
        <v>2.25203</v>
      </c>
      <c r="S8" s="15">
        <v>6.3979999999999995E-2</v>
      </c>
      <c r="T8" s="16">
        <f t="shared" si="2"/>
        <v>63.98</v>
      </c>
      <c r="U8" s="15"/>
      <c r="V8" s="15">
        <v>3.5200000000000002E-2</v>
      </c>
    </row>
    <row r="9" spans="1:23" x14ac:dyDescent="0.3">
      <c r="A9" s="15" t="s">
        <v>241</v>
      </c>
      <c r="B9" s="15">
        <v>0.71955000000000002</v>
      </c>
      <c r="C9" s="15">
        <v>1.7989999999999999E-2</v>
      </c>
      <c r="D9" s="16">
        <f t="shared" si="0"/>
        <v>17.989999999999998</v>
      </c>
      <c r="E9" s="15"/>
      <c r="F9" s="15">
        <v>0.04</v>
      </c>
      <c r="G9" s="15">
        <v>4.326E-2</v>
      </c>
      <c r="I9" s="15" t="s">
        <v>243</v>
      </c>
      <c r="J9" s="15">
        <v>0.62744999999999995</v>
      </c>
      <c r="K9" s="15">
        <v>1.669E-2</v>
      </c>
      <c r="L9" s="16">
        <f t="shared" si="1"/>
        <v>16.690000000000001</v>
      </c>
      <c r="M9" s="15"/>
      <c r="N9" s="15">
        <v>3.7600000000000001E-2</v>
      </c>
      <c r="O9" s="15">
        <v>3.7999999999999999E-2</v>
      </c>
      <c r="P9" s="14"/>
      <c r="Q9" s="15" t="s">
        <v>244</v>
      </c>
      <c r="R9" s="15">
        <v>2.2001300000000001</v>
      </c>
      <c r="S9" s="15">
        <v>5.5280000000000003E-2</v>
      </c>
      <c r="T9" s="16">
        <f t="shared" si="2"/>
        <v>55.28</v>
      </c>
      <c r="U9" s="15"/>
      <c r="V9" s="15">
        <v>3.9800000000000002E-2</v>
      </c>
    </row>
    <row r="10" spans="1:23" x14ac:dyDescent="0.3">
      <c r="A10" s="15" t="s">
        <v>243</v>
      </c>
      <c r="B10" s="15">
        <v>0.62744999999999995</v>
      </c>
      <c r="C10" s="15">
        <v>1.669E-2</v>
      </c>
      <c r="D10" s="16">
        <f t="shared" si="0"/>
        <v>16.690000000000001</v>
      </c>
      <c r="E10" s="15"/>
      <c r="F10" s="15">
        <v>3.7600000000000001E-2</v>
      </c>
      <c r="G10" s="15">
        <v>3.7999999999999999E-2</v>
      </c>
      <c r="I10" s="15" t="s">
        <v>245</v>
      </c>
      <c r="J10" s="15">
        <v>2.0890499999999999</v>
      </c>
      <c r="K10" s="15">
        <v>6.3689999999999997E-2</v>
      </c>
      <c r="L10" s="16">
        <f t="shared" si="1"/>
        <v>63.69</v>
      </c>
      <c r="M10" s="15"/>
      <c r="N10" s="15">
        <v>3.2800000000000003E-2</v>
      </c>
      <c r="O10" s="15">
        <v>0.1198</v>
      </c>
      <c r="P10" s="14"/>
      <c r="Q10" s="15" t="s">
        <v>246</v>
      </c>
      <c r="R10" s="15">
        <v>2.0707900000000001</v>
      </c>
      <c r="S10" s="15">
        <v>6.812E-2</v>
      </c>
      <c r="T10" s="16">
        <f t="shared" si="2"/>
        <v>68.12</v>
      </c>
      <c r="U10" s="15"/>
      <c r="V10" s="15">
        <v>3.04E-2</v>
      </c>
    </row>
    <row r="11" spans="1:23" x14ac:dyDescent="0.3">
      <c r="A11" s="15" t="s">
        <v>245</v>
      </c>
      <c r="B11" s="15">
        <v>2.0890499999999999</v>
      </c>
      <c r="C11" s="15">
        <v>6.3689999999999997E-2</v>
      </c>
      <c r="D11" s="16">
        <f t="shared" si="0"/>
        <v>63.69</v>
      </c>
      <c r="E11" s="15"/>
      <c r="F11" s="15">
        <v>3.2800000000000003E-2</v>
      </c>
      <c r="G11" s="15">
        <v>0.1198</v>
      </c>
      <c r="I11" s="15" t="s">
        <v>247</v>
      </c>
      <c r="J11" s="15">
        <v>2.57301</v>
      </c>
      <c r="K11" s="15">
        <v>5.8479999999999997E-2</v>
      </c>
      <c r="L11" s="16">
        <f t="shared" si="1"/>
        <v>58.48</v>
      </c>
      <c r="M11" s="15"/>
      <c r="N11" s="15">
        <v>4.3999999999999997E-2</v>
      </c>
      <c r="O11" s="15">
        <v>0.14610000000000001</v>
      </c>
      <c r="P11" s="14"/>
      <c r="Q11" s="15" t="s">
        <v>248</v>
      </c>
      <c r="R11" s="15">
        <v>2.2850899999999998</v>
      </c>
      <c r="S11" s="15">
        <v>6.5100000000000005E-2</v>
      </c>
      <c r="T11" s="16">
        <f t="shared" si="2"/>
        <v>65.100000000000009</v>
      </c>
      <c r="U11" s="15"/>
      <c r="V11" s="15">
        <v>3.5099999999999999E-2</v>
      </c>
    </row>
    <row r="12" spans="1:23" x14ac:dyDescent="0.3">
      <c r="A12" s="15" t="s">
        <v>247</v>
      </c>
      <c r="B12" s="15">
        <v>2.57301</v>
      </c>
      <c r="C12" s="15">
        <v>5.8479999999999997E-2</v>
      </c>
      <c r="D12" s="16">
        <f t="shared" si="0"/>
        <v>58.48</v>
      </c>
      <c r="E12" s="15"/>
      <c r="F12" s="15">
        <v>4.3999999999999997E-2</v>
      </c>
      <c r="G12" s="15">
        <v>0.14610000000000001</v>
      </c>
      <c r="I12" s="15" t="s">
        <v>249</v>
      </c>
      <c r="J12" s="15">
        <v>2.54833</v>
      </c>
      <c r="K12" s="15">
        <v>7.0400000000000004E-2</v>
      </c>
      <c r="L12" s="16">
        <f t="shared" si="1"/>
        <v>70.400000000000006</v>
      </c>
      <c r="M12" s="15"/>
      <c r="N12" s="15">
        <v>3.6200000000000003E-2</v>
      </c>
      <c r="O12" s="15">
        <v>0.14477000000000001</v>
      </c>
      <c r="P12" s="14"/>
      <c r="Q12" s="15" t="s">
        <v>250</v>
      </c>
      <c r="R12" s="15">
        <v>1.53837</v>
      </c>
      <c r="S12" s="15">
        <v>4.8840000000000001E-2</v>
      </c>
      <c r="T12" s="16">
        <f t="shared" si="2"/>
        <v>48.84</v>
      </c>
      <c r="U12" s="15"/>
      <c r="V12" s="15">
        <v>3.15E-2</v>
      </c>
    </row>
    <row r="13" spans="1:23" x14ac:dyDescent="0.3">
      <c r="A13" s="15" t="s">
        <v>249</v>
      </c>
      <c r="B13" s="15">
        <v>2.54833</v>
      </c>
      <c r="C13" s="15">
        <v>7.0400000000000004E-2</v>
      </c>
      <c r="D13" s="16">
        <f t="shared" si="0"/>
        <v>70.400000000000006</v>
      </c>
      <c r="E13" s="15"/>
      <c r="F13" s="15">
        <v>3.6200000000000003E-2</v>
      </c>
      <c r="G13" s="15">
        <v>0.14477000000000001</v>
      </c>
      <c r="I13" s="15" t="s">
        <v>251</v>
      </c>
      <c r="J13" s="15">
        <v>2.51552</v>
      </c>
      <c r="K13" s="15">
        <v>6.93E-2</v>
      </c>
      <c r="L13" s="16">
        <f t="shared" si="1"/>
        <v>69.3</v>
      </c>
      <c r="M13" s="15"/>
      <c r="N13" s="15">
        <v>3.6299999999999999E-2</v>
      </c>
      <c r="O13" s="15">
        <v>0.14299000000000001</v>
      </c>
      <c r="P13" s="14"/>
      <c r="Q13" s="15" t="s">
        <v>252</v>
      </c>
      <c r="R13" s="15">
        <v>1.76007</v>
      </c>
      <c r="S13" s="15">
        <v>5.3170000000000002E-2</v>
      </c>
      <c r="T13" s="16">
        <f t="shared" si="2"/>
        <v>53.17</v>
      </c>
      <c r="U13" s="15"/>
      <c r="V13" s="15">
        <v>3.3099999999999997E-2</v>
      </c>
    </row>
    <row r="14" spans="1:23" x14ac:dyDescent="0.3">
      <c r="A14" s="15" t="s">
        <v>251</v>
      </c>
      <c r="B14" s="15">
        <v>2.51552</v>
      </c>
      <c r="C14" s="15">
        <v>6.93E-2</v>
      </c>
      <c r="D14" s="16">
        <f t="shared" si="0"/>
        <v>69.3</v>
      </c>
      <c r="E14" s="15"/>
      <c r="F14" s="15">
        <v>3.6299999999999999E-2</v>
      </c>
      <c r="G14" s="15">
        <v>0.14299000000000001</v>
      </c>
      <c r="I14" s="15" t="s">
        <v>253</v>
      </c>
      <c r="J14" s="15">
        <v>2.50637</v>
      </c>
      <c r="K14" s="15">
        <v>7.3289999999999994E-2</v>
      </c>
      <c r="L14" s="16">
        <f t="shared" si="1"/>
        <v>73.289999999999992</v>
      </c>
      <c r="M14" s="15"/>
      <c r="N14" s="15">
        <v>3.4200000000000001E-2</v>
      </c>
      <c r="O14" s="15">
        <v>0.14249999999999999</v>
      </c>
      <c r="P14" s="14"/>
      <c r="Q14" s="15" t="s">
        <v>254</v>
      </c>
      <c r="R14" s="15">
        <v>1.54376</v>
      </c>
      <c r="S14" s="15">
        <v>4.7649999999999998E-2</v>
      </c>
      <c r="T14" s="16">
        <f t="shared" si="2"/>
        <v>47.65</v>
      </c>
      <c r="U14" s="15"/>
      <c r="V14" s="15">
        <v>3.2399999999999998E-2</v>
      </c>
    </row>
    <row r="15" spans="1:23" x14ac:dyDescent="0.3">
      <c r="A15" s="15" t="s">
        <v>253</v>
      </c>
      <c r="B15" s="15">
        <v>2.50637</v>
      </c>
      <c r="C15" s="15">
        <v>7.3289999999999994E-2</v>
      </c>
      <c r="D15" s="16">
        <f t="shared" si="0"/>
        <v>73.289999999999992</v>
      </c>
      <c r="E15" s="15"/>
      <c r="F15" s="15">
        <v>3.4200000000000001E-2</v>
      </c>
      <c r="G15" s="15">
        <v>0.14249999999999999</v>
      </c>
      <c r="I15" s="15" t="s">
        <v>255</v>
      </c>
      <c r="J15" s="15">
        <v>2.5897399999999999</v>
      </c>
      <c r="K15" s="15">
        <v>6.3469999999999999E-2</v>
      </c>
      <c r="L15" s="16">
        <f t="shared" si="1"/>
        <v>63.47</v>
      </c>
      <c r="M15" s="15"/>
      <c r="N15" s="15">
        <v>4.0800000000000003E-2</v>
      </c>
      <c r="O15" s="15">
        <v>0.14699999999999999</v>
      </c>
      <c r="P15" s="14"/>
      <c r="Q15" s="15" t="s">
        <v>256</v>
      </c>
      <c r="R15" s="15">
        <v>0.37483</v>
      </c>
      <c r="S15" s="15">
        <v>1.179E-2</v>
      </c>
      <c r="T15" s="16">
        <f t="shared" si="2"/>
        <v>11.790000000000001</v>
      </c>
      <c r="U15" s="15"/>
      <c r="V15" s="15">
        <v>3.1800000000000002E-2</v>
      </c>
    </row>
    <row r="16" spans="1:23" x14ac:dyDescent="0.3">
      <c r="A16" s="15" t="s">
        <v>255</v>
      </c>
      <c r="B16" s="15">
        <v>2.5897399999999999</v>
      </c>
      <c r="C16" s="15">
        <v>6.3469999999999999E-2</v>
      </c>
      <c r="D16" s="16">
        <f t="shared" si="0"/>
        <v>63.47</v>
      </c>
      <c r="E16" s="15"/>
      <c r="F16" s="15">
        <v>4.0800000000000003E-2</v>
      </c>
      <c r="G16" s="15">
        <v>0.14699999999999999</v>
      </c>
      <c r="I16" s="15" t="s">
        <v>257</v>
      </c>
      <c r="J16" s="16">
        <v>2.2111233333333331</v>
      </c>
      <c r="K16" s="16">
        <v>6.1749999999999999E-2</v>
      </c>
      <c r="L16" s="16">
        <f t="shared" si="1"/>
        <v>61.75</v>
      </c>
      <c r="M16" s="15"/>
      <c r="N16" s="16">
        <v>3.5833333333333335E-2</v>
      </c>
      <c r="O16" s="16">
        <v>0.12646666666666664</v>
      </c>
      <c r="P16" s="14"/>
      <c r="Q16" s="15" t="s">
        <v>258</v>
      </c>
      <c r="R16" s="15">
        <v>0.81372</v>
      </c>
      <c r="S16" s="15">
        <v>1.9369999999999998E-2</v>
      </c>
      <c r="T16" s="16">
        <f t="shared" si="2"/>
        <v>19.369999999999997</v>
      </c>
      <c r="U16" s="15"/>
      <c r="V16" s="15">
        <v>4.2000000000000003E-2</v>
      </c>
    </row>
    <row r="17" spans="1:23" x14ac:dyDescent="0.3">
      <c r="A17" s="15" t="s">
        <v>257</v>
      </c>
      <c r="B17" s="15">
        <v>2.11829</v>
      </c>
      <c r="C17" s="15">
        <v>6.2859999999999999E-2</v>
      </c>
      <c r="D17" s="16">
        <f t="shared" si="0"/>
        <v>62.86</v>
      </c>
      <c r="E17" s="15"/>
      <c r="F17" s="15">
        <v>3.3700000000000001E-2</v>
      </c>
      <c r="G17" s="15">
        <v>0.12139999999999999</v>
      </c>
      <c r="I17" s="15" t="s">
        <v>259</v>
      </c>
      <c r="J17" s="15">
        <v>1.9830399999999999</v>
      </c>
      <c r="K17" s="15">
        <v>5.0979999999999998E-2</v>
      </c>
      <c r="L17" s="16">
        <f t="shared" si="1"/>
        <v>50.98</v>
      </c>
      <c r="M17" s="15"/>
      <c r="N17" s="15">
        <v>3.8899999999999997E-2</v>
      </c>
      <c r="O17" s="15">
        <v>0.11398999999999999</v>
      </c>
      <c r="P17" s="14"/>
      <c r="Q17" s="15" t="s">
        <v>260</v>
      </c>
      <c r="R17" s="16">
        <v>2.5356300000000003</v>
      </c>
      <c r="S17" s="16">
        <v>7.4060000000000001E-2</v>
      </c>
      <c r="T17" s="16">
        <f t="shared" si="2"/>
        <v>74.06</v>
      </c>
      <c r="U17" s="15"/>
      <c r="V17" s="16">
        <v>3.4250000000000003E-2</v>
      </c>
    </row>
    <row r="18" spans="1:23" x14ac:dyDescent="0.3">
      <c r="A18" s="15" t="s">
        <v>257</v>
      </c>
      <c r="B18" s="15">
        <v>2.25203</v>
      </c>
      <c r="C18" s="15">
        <v>6.2039999999999998E-2</v>
      </c>
      <c r="D18" s="16">
        <f t="shared" si="0"/>
        <v>62.04</v>
      </c>
      <c r="E18" s="15"/>
      <c r="F18" s="15">
        <v>3.6299999999999999E-2</v>
      </c>
      <c r="G18" s="15">
        <v>0.12870000000000001</v>
      </c>
      <c r="I18" s="15" t="s">
        <v>261</v>
      </c>
      <c r="J18" s="15">
        <v>4.0331400000000004</v>
      </c>
      <c r="K18" s="15">
        <v>6.93E-2</v>
      </c>
      <c r="L18" s="16">
        <f t="shared" si="1"/>
        <v>69.3</v>
      </c>
      <c r="M18" s="15"/>
      <c r="N18" s="15">
        <v>5.8200000000000002E-2</v>
      </c>
      <c r="O18" s="15">
        <v>0.22306999999999999</v>
      </c>
      <c r="P18" s="14"/>
      <c r="Q18" s="15" t="s">
        <v>262</v>
      </c>
      <c r="R18" s="15">
        <v>2.4509099999999999</v>
      </c>
      <c r="S18" s="15">
        <v>6.4500000000000002E-2</v>
      </c>
      <c r="T18" s="16">
        <f t="shared" si="2"/>
        <v>64.5</v>
      </c>
      <c r="U18" s="15"/>
      <c r="V18" s="15">
        <v>3.7999999999999999E-2</v>
      </c>
    </row>
    <row r="19" spans="1:23" x14ac:dyDescent="0.3">
      <c r="A19" s="15" t="s">
        <v>257</v>
      </c>
      <c r="B19" s="15">
        <v>2.2630499999999998</v>
      </c>
      <c r="C19" s="15">
        <v>6.0350000000000001E-2</v>
      </c>
      <c r="D19" s="16">
        <f t="shared" si="0"/>
        <v>60.35</v>
      </c>
      <c r="E19" s="15"/>
      <c r="F19" s="15">
        <v>3.7499999999999999E-2</v>
      </c>
      <c r="G19" s="15">
        <v>0.1293</v>
      </c>
      <c r="I19" s="15" t="s">
        <v>263</v>
      </c>
      <c r="J19" s="15">
        <v>2.3394499999999998</v>
      </c>
      <c r="K19" s="15">
        <v>5.8630000000000002E-2</v>
      </c>
      <c r="L19" s="16">
        <f t="shared" si="1"/>
        <v>58.63</v>
      </c>
      <c r="M19" s="15"/>
      <c r="N19" s="15">
        <v>3.9899999999999998E-2</v>
      </c>
      <c r="O19" s="15">
        <v>0.13346</v>
      </c>
      <c r="P19" s="14"/>
      <c r="Q19" s="15" t="s">
        <v>264</v>
      </c>
      <c r="R19" s="15">
        <v>3.0644200000000001</v>
      </c>
      <c r="S19" s="15">
        <v>5.2650000000000002E-2</v>
      </c>
      <c r="T19" s="16">
        <f t="shared" si="2"/>
        <v>52.650000000000006</v>
      </c>
      <c r="U19" s="15"/>
      <c r="V19" s="15">
        <v>5.8200000000000002E-2</v>
      </c>
    </row>
    <row r="20" spans="1:23" x14ac:dyDescent="0.3">
      <c r="A20" s="15" t="s">
        <v>259</v>
      </c>
      <c r="B20" s="15">
        <v>1.9830399999999999</v>
      </c>
      <c r="C20" s="15">
        <v>5.0979999999999998E-2</v>
      </c>
      <c r="D20" s="16">
        <f t="shared" si="0"/>
        <v>50.98</v>
      </c>
      <c r="E20" s="15"/>
      <c r="F20" s="15">
        <v>3.8899999999999997E-2</v>
      </c>
      <c r="G20" s="15">
        <v>0.11398999999999999</v>
      </c>
      <c r="I20" s="15" t="s">
        <v>265</v>
      </c>
      <c r="J20" s="15">
        <v>4.8105900000000004</v>
      </c>
      <c r="K20" s="15">
        <v>7.4120000000000005E-2</v>
      </c>
      <c r="L20" s="16">
        <f t="shared" si="1"/>
        <v>74.12</v>
      </c>
      <c r="M20" s="15"/>
      <c r="N20" s="15">
        <v>6.4899999999999999E-2</v>
      </c>
      <c r="O20" s="15">
        <v>0.26258999999999999</v>
      </c>
      <c r="P20" s="14"/>
      <c r="Q20" s="15" t="s">
        <v>266</v>
      </c>
      <c r="R20" s="16">
        <v>1.8709250000000002</v>
      </c>
      <c r="S20" s="16">
        <v>5.3330000000000002E-2</v>
      </c>
      <c r="T20" s="16">
        <f t="shared" si="2"/>
        <v>53.330000000000005</v>
      </c>
      <c r="U20" s="15"/>
      <c r="V20" s="16">
        <v>3.5000000000000003E-2</v>
      </c>
    </row>
    <row r="21" spans="1:23" x14ac:dyDescent="0.3">
      <c r="A21" s="15" t="s">
        <v>261</v>
      </c>
      <c r="B21" s="15">
        <v>4.0331400000000004</v>
      </c>
      <c r="C21" s="15">
        <v>6.93E-2</v>
      </c>
      <c r="D21" s="16">
        <f t="shared" si="0"/>
        <v>69.3</v>
      </c>
      <c r="E21" s="15"/>
      <c r="F21" s="15">
        <v>5.8200000000000002E-2</v>
      </c>
      <c r="G21" s="15">
        <v>0.22306999999999999</v>
      </c>
      <c r="I21" s="15" t="s">
        <v>267</v>
      </c>
      <c r="J21" s="15">
        <v>5.1918800000000003</v>
      </c>
      <c r="K21" s="15">
        <v>7.4810000000000001E-2</v>
      </c>
      <c r="L21" s="16">
        <f t="shared" si="1"/>
        <v>74.81</v>
      </c>
      <c r="M21" s="15"/>
      <c r="N21" s="15">
        <v>6.9400000000000003E-2</v>
      </c>
      <c r="O21" s="15">
        <v>0.28161000000000003</v>
      </c>
      <c r="P21" s="14"/>
      <c r="Q21" s="15" t="s">
        <v>268</v>
      </c>
      <c r="R21" s="15">
        <v>3.08514</v>
      </c>
      <c r="S21" s="15">
        <v>7.2760000000000005E-2</v>
      </c>
      <c r="T21" s="16">
        <f t="shared" si="2"/>
        <v>72.760000000000005</v>
      </c>
      <c r="U21" s="15"/>
      <c r="V21" s="15">
        <v>4.24E-2</v>
      </c>
    </row>
    <row r="22" spans="1:23" x14ac:dyDescent="0.3">
      <c r="A22" s="15" t="s">
        <v>263</v>
      </c>
      <c r="B22" s="15">
        <v>2.3394499999999998</v>
      </c>
      <c r="C22" s="15">
        <v>5.8630000000000002E-2</v>
      </c>
      <c r="D22" s="16">
        <f t="shared" si="0"/>
        <v>58.63</v>
      </c>
      <c r="E22" s="15"/>
      <c r="F22" s="15">
        <v>3.9899999999999998E-2</v>
      </c>
      <c r="G22" s="15">
        <v>0.13346</v>
      </c>
      <c r="I22" s="15" t="s">
        <v>269</v>
      </c>
      <c r="J22" s="15">
        <v>3.92</v>
      </c>
      <c r="K22" s="15">
        <v>7.1790000000000007E-2</v>
      </c>
      <c r="L22" s="16">
        <f t="shared" si="1"/>
        <v>71.790000000000006</v>
      </c>
      <c r="M22" s="15"/>
      <c r="N22" s="15">
        <v>5.4600000000000003E-2</v>
      </c>
      <c r="O22" s="15">
        <v>0.21723000000000001</v>
      </c>
      <c r="P22" s="14"/>
      <c r="Q22" s="15" t="s">
        <v>270</v>
      </c>
      <c r="R22" s="15">
        <v>1.66797</v>
      </c>
      <c r="S22" s="15">
        <v>5.5230000000000001E-2</v>
      </c>
      <c r="T22" s="16">
        <f t="shared" si="2"/>
        <v>55.230000000000004</v>
      </c>
      <c r="U22" s="15"/>
      <c r="V22" s="15">
        <v>3.0200000000000001E-2</v>
      </c>
    </row>
    <row r="23" spans="1:23" x14ac:dyDescent="0.3">
      <c r="A23" s="15" t="s">
        <v>265</v>
      </c>
      <c r="B23" s="15">
        <v>4.8105900000000004</v>
      </c>
      <c r="C23" s="15">
        <v>7.4120000000000005E-2</v>
      </c>
      <c r="D23" s="16">
        <f t="shared" si="0"/>
        <v>74.12</v>
      </c>
      <c r="E23" s="15"/>
      <c r="F23" s="15">
        <v>6.4899999999999999E-2</v>
      </c>
      <c r="G23" s="15">
        <v>0.26258999999999999</v>
      </c>
      <c r="I23" s="15" t="s">
        <v>271</v>
      </c>
      <c r="J23" s="15">
        <v>3.6392699999999998</v>
      </c>
      <c r="K23" s="15">
        <v>7.3370000000000005E-2</v>
      </c>
      <c r="L23" s="16">
        <f t="shared" si="1"/>
        <v>73.37</v>
      </c>
      <c r="M23" s="15"/>
      <c r="N23" s="15">
        <v>4.9599999999999998E-2</v>
      </c>
      <c r="O23" s="15">
        <v>0.20266000000000001</v>
      </c>
      <c r="P23" s="14"/>
      <c r="Q23" s="15" t="s">
        <v>272</v>
      </c>
      <c r="R23" s="15">
        <v>0.65193999999999996</v>
      </c>
      <c r="S23" s="15">
        <v>2.018E-2</v>
      </c>
      <c r="T23" s="16">
        <f t="shared" si="2"/>
        <v>20.18</v>
      </c>
      <c r="U23" s="15"/>
      <c r="V23" s="15">
        <v>3.2300000000000002E-2</v>
      </c>
    </row>
    <row r="24" spans="1:23" x14ac:dyDescent="0.3">
      <c r="A24" s="15" t="s">
        <v>267</v>
      </c>
      <c r="B24" s="15">
        <v>5.1918800000000003</v>
      </c>
      <c r="C24" s="15">
        <v>7.4810000000000001E-2</v>
      </c>
      <c r="D24" s="16">
        <f t="shared" si="0"/>
        <v>74.81</v>
      </c>
      <c r="E24" s="15"/>
      <c r="F24" s="15">
        <v>6.9400000000000003E-2</v>
      </c>
      <c r="G24" s="15">
        <v>0.28161000000000003</v>
      </c>
      <c r="I24" s="15" t="s">
        <v>273</v>
      </c>
      <c r="J24" s="15">
        <v>2.3307099999999998</v>
      </c>
      <c r="K24" s="15">
        <v>7.084E-2</v>
      </c>
      <c r="L24" s="16">
        <f t="shared" si="1"/>
        <v>70.84</v>
      </c>
      <c r="M24" s="15"/>
      <c r="N24" s="15">
        <v>3.2899999999999999E-2</v>
      </c>
      <c r="O24" s="15">
        <v>0.13297999999999999</v>
      </c>
      <c r="P24" s="14"/>
      <c r="Q24" s="15" t="s">
        <v>274</v>
      </c>
      <c r="R24" s="15">
        <v>0.51397000000000004</v>
      </c>
      <c r="S24" s="15">
        <v>1.6580000000000001E-2</v>
      </c>
      <c r="T24" s="16">
        <f t="shared" si="2"/>
        <v>16.580000000000002</v>
      </c>
      <c r="U24" s="15"/>
      <c r="V24" s="15">
        <v>3.1E-2</v>
      </c>
    </row>
    <row r="25" spans="1:23" x14ac:dyDescent="0.3">
      <c r="A25" s="15" t="s">
        <v>269</v>
      </c>
      <c r="B25" s="15">
        <v>3.92</v>
      </c>
      <c r="C25" s="15">
        <v>7.1790000000000007E-2</v>
      </c>
      <c r="D25" s="16">
        <f t="shared" si="0"/>
        <v>71.790000000000006</v>
      </c>
      <c r="E25" s="15"/>
      <c r="F25" s="15">
        <v>5.4600000000000003E-2</v>
      </c>
      <c r="G25" s="15">
        <v>0.21723000000000001</v>
      </c>
      <c r="I25" s="15" t="s">
        <v>275</v>
      </c>
      <c r="J25" s="15">
        <v>3.3660000000000001</v>
      </c>
      <c r="K25" s="15">
        <v>7.0269999999999999E-2</v>
      </c>
      <c r="L25" s="16">
        <f t="shared" si="1"/>
        <v>70.27</v>
      </c>
      <c r="M25" s="15"/>
      <c r="N25" s="15">
        <v>4.7899999999999998E-2</v>
      </c>
      <c r="O25" s="15">
        <v>0.18834000000000001</v>
      </c>
      <c r="P25" s="14"/>
      <c r="Q25" s="15" t="s">
        <v>276</v>
      </c>
      <c r="R25" s="15">
        <v>0.63444</v>
      </c>
      <c r="S25" s="15">
        <v>2.001E-2</v>
      </c>
      <c r="T25" s="16">
        <f t="shared" si="2"/>
        <v>20.010000000000002</v>
      </c>
      <c r="U25" s="15"/>
      <c r="V25" s="15">
        <v>3.1699999999999999E-2</v>
      </c>
    </row>
    <row r="26" spans="1:23" x14ac:dyDescent="0.3">
      <c r="A26" s="15" t="s">
        <v>271</v>
      </c>
      <c r="B26" s="15">
        <v>3.6392699999999998</v>
      </c>
      <c r="C26" s="15">
        <v>7.3370000000000005E-2</v>
      </c>
      <c r="D26" s="16">
        <f t="shared" si="0"/>
        <v>73.37</v>
      </c>
      <c r="E26" s="15"/>
      <c r="F26" s="15">
        <v>4.9599999999999998E-2</v>
      </c>
      <c r="G26" s="15">
        <v>0.20266000000000001</v>
      </c>
      <c r="I26" s="15" t="s">
        <v>277</v>
      </c>
      <c r="J26" s="15">
        <v>2.59456</v>
      </c>
      <c r="K26" s="15">
        <v>5.2949999999999997E-2</v>
      </c>
      <c r="L26" s="16">
        <f t="shared" si="1"/>
        <v>52.949999999999996</v>
      </c>
      <c r="M26" s="15"/>
      <c r="N26" s="15">
        <v>4.9000000000000002E-2</v>
      </c>
      <c r="O26" s="15">
        <v>0.14726</v>
      </c>
      <c r="P26" s="14"/>
      <c r="Q26" s="15" t="s">
        <v>278</v>
      </c>
      <c r="R26" s="15">
        <v>0.89780000000000004</v>
      </c>
      <c r="S26" s="15">
        <v>2.222E-2</v>
      </c>
      <c r="T26" s="16">
        <f t="shared" si="2"/>
        <v>22.22</v>
      </c>
      <c r="U26" s="15"/>
      <c r="V26" s="15">
        <v>4.0399999999999998E-2</v>
      </c>
    </row>
    <row r="27" spans="1:23" x14ac:dyDescent="0.3">
      <c r="A27" s="15" t="s">
        <v>273</v>
      </c>
      <c r="B27" s="15">
        <v>2.3307099999999998</v>
      </c>
      <c r="C27" s="15">
        <v>7.084E-2</v>
      </c>
      <c r="D27" s="16">
        <f t="shared" si="0"/>
        <v>70.84</v>
      </c>
      <c r="E27" s="15"/>
      <c r="F27" s="15">
        <v>3.2899999999999999E-2</v>
      </c>
      <c r="G27" s="15">
        <v>0.13297999999999999</v>
      </c>
      <c r="I27" s="15" t="s">
        <v>279</v>
      </c>
      <c r="J27" s="15">
        <v>3.01159</v>
      </c>
      <c r="K27" s="15">
        <v>5.8590000000000003E-2</v>
      </c>
      <c r="L27" s="16">
        <f t="shared" si="1"/>
        <v>58.59</v>
      </c>
      <c r="M27" s="15"/>
      <c r="N27" s="15">
        <v>5.1400000000000001E-2</v>
      </c>
      <c r="O27" s="15">
        <v>0.16958999999999999</v>
      </c>
      <c r="P27" s="14"/>
      <c r="Q27" s="15" t="s">
        <v>280</v>
      </c>
      <c r="R27" s="16">
        <v>0.65962333333333334</v>
      </c>
      <c r="S27" s="16">
        <v>1.7933333333333336E-2</v>
      </c>
      <c r="T27" s="16">
        <f t="shared" si="2"/>
        <v>17.933333333333337</v>
      </c>
      <c r="U27" s="15"/>
      <c r="V27" s="16">
        <v>3.6866666666666666E-2</v>
      </c>
    </row>
    <row r="28" spans="1:23" x14ac:dyDescent="0.3">
      <c r="A28" s="15" t="s">
        <v>275</v>
      </c>
      <c r="B28" s="15">
        <v>3.3660000000000001</v>
      </c>
      <c r="C28" s="15">
        <v>7.0269999999999999E-2</v>
      </c>
      <c r="D28" s="16">
        <f t="shared" si="0"/>
        <v>70.27</v>
      </c>
      <c r="E28" s="15"/>
      <c r="F28" s="15">
        <v>4.7899999999999998E-2</v>
      </c>
      <c r="G28" s="15">
        <v>0.18834000000000001</v>
      </c>
      <c r="I28" s="15" t="s">
        <v>281</v>
      </c>
      <c r="J28" s="15">
        <v>2.9115000000000002</v>
      </c>
      <c r="K28" s="15">
        <v>5.7770000000000002E-2</v>
      </c>
      <c r="L28" s="16">
        <f t="shared" si="1"/>
        <v>57.77</v>
      </c>
      <c r="M28" s="15"/>
      <c r="N28" s="15">
        <v>5.04E-2</v>
      </c>
      <c r="O28" s="15">
        <v>0.16425999999999999</v>
      </c>
      <c r="P28" s="14"/>
      <c r="Q28" s="15" t="s">
        <v>282</v>
      </c>
      <c r="R28" s="15">
        <v>0.74831999999999999</v>
      </c>
      <c r="S28" s="15">
        <v>2.281E-2</v>
      </c>
      <c r="T28" s="16">
        <f t="shared" si="2"/>
        <v>22.81</v>
      </c>
      <c r="U28" s="15"/>
      <c r="V28" s="15">
        <v>3.2800000000000003E-2</v>
      </c>
    </row>
    <row r="29" spans="1:23" x14ac:dyDescent="0.3">
      <c r="A29" s="15" t="s">
        <v>277</v>
      </c>
      <c r="B29" s="15">
        <v>2.59456</v>
      </c>
      <c r="C29" s="15">
        <v>5.2949999999999997E-2</v>
      </c>
      <c r="D29" s="16">
        <f t="shared" si="0"/>
        <v>52.949999999999996</v>
      </c>
      <c r="E29" s="15"/>
      <c r="F29" s="15">
        <v>4.9000000000000002E-2</v>
      </c>
      <c r="G29" s="15">
        <v>0.14726</v>
      </c>
      <c r="I29" s="15" t="s">
        <v>283</v>
      </c>
      <c r="J29" s="15">
        <v>2.39439</v>
      </c>
      <c r="K29" s="15">
        <v>5.8119999999999998E-2</v>
      </c>
      <c r="L29" s="16">
        <f t="shared" si="1"/>
        <v>58.12</v>
      </c>
      <c r="M29" s="15"/>
      <c r="N29" s="15">
        <v>4.1200000000000001E-2</v>
      </c>
      <c r="O29" s="15">
        <v>0.13644000000000001</v>
      </c>
      <c r="P29" s="14"/>
      <c r="Q29" s="15" t="s">
        <v>233</v>
      </c>
      <c r="R29" s="15">
        <v>5.3499999999999997E-3</v>
      </c>
      <c r="S29" s="15">
        <v>3.0000000000000001E-5</v>
      </c>
      <c r="T29" s="16">
        <f t="shared" si="2"/>
        <v>3.0000000000000002E-2</v>
      </c>
      <c r="U29" s="15"/>
      <c r="V29" s="15">
        <v>0.2</v>
      </c>
    </row>
    <row r="30" spans="1:23" x14ac:dyDescent="0.3">
      <c r="A30" s="15" t="s">
        <v>279</v>
      </c>
      <c r="B30" s="15">
        <v>3.01159</v>
      </c>
      <c r="C30" s="15">
        <v>5.8590000000000003E-2</v>
      </c>
      <c r="D30" s="16">
        <f t="shared" si="0"/>
        <v>58.59</v>
      </c>
      <c r="E30" s="15"/>
      <c r="F30" s="15">
        <v>5.1400000000000001E-2</v>
      </c>
      <c r="G30" s="15">
        <v>0.16958999999999999</v>
      </c>
      <c r="I30" s="15" t="s">
        <v>284</v>
      </c>
      <c r="J30" s="15">
        <v>3.0794899999999998</v>
      </c>
      <c r="K30" s="15">
        <v>7.9369999999999996E-2</v>
      </c>
      <c r="L30" s="16">
        <f t="shared" si="1"/>
        <v>79.36999999999999</v>
      </c>
      <c r="M30" s="15"/>
      <c r="N30" s="15">
        <v>3.8800000000000001E-2</v>
      </c>
      <c r="O30" s="15">
        <v>0.17319999999999999</v>
      </c>
      <c r="P30" s="14"/>
      <c r="Q30" s="15" t="s">
        <v>233</v>
      </c>
      <c r="R30" s="15">
        <v>1.0000000000000001E-5</v>
      </c>
      <c r="S30" s="15">
        <v>0</v>
      </c>
      <c r="T30" s="16">
        <f t="shared" si="2"/>
        <v>0</v>
      </c>
      <c r="U30" s="15"/>
      <c r="V30" s="15">
        <v>0.2</v>
      </c>
    </row>
    <row r="31" spans="1:23" x14ac:dyDescent="0.3">
      <c r="A31" s="15" t="s">
        <v>281</v>
      </c>
      <c r="B31" s="15">
        <v>2.9115000000000002</v>
      </c>
      <c r="C31" s="15">
        <v>5.7770000000000002E-2</v>
      </c>
      <c r="D31" s="16">
        <f t="shared" si="0"/>
        <v>57.77</v>
      </c>
      <c r="E31" s="15"/>
      <c r="F31" s="15">
        <v>5.04E-2</v>
      </c>
      <c r="G31" s="15">
        <v>0.16425999999999999</v>
      </c>
      <c r="I31" s="15" t="s">
        <v>285</v>
      </c>
      <c r="J31" s="15">
        <v>4.0751099999999996</v>
      </c>
      <c r="K31" s="15">
        <v>7.5749999999999998E-2</v>
      </c>
      <c r="L31" s="16">
        <f t="shared" si="1"/>
        <v>75.75</v>
      </c>
      <c r="M31" s="15"/>
      <c r="N31" s="15">
        <v>5.3800000000000001E-2</v>
      </c>
      <c r="O31" s="15">
        <v>0.22523000000000001</v>
      </c>
      <c r="P31" s="14"/>
      <c r="Q31" s="15" t="s">
        <v>233</v>
      </c>
      <c r="R31" s="15">
        <v>3.628E-2</v>
      </c>
      <c r="S31" s="15">
        <v>1.8000000000000001E-4</v>
      </c>
      <c r="T31" s="16">
        <f t="shared" si="2"/>
        <v>0.18000000000000002</v>
      </c>
      <c r="U31" s="15"/>
      <c r="V31" s="15">
        <v>0.2</v>
      </c>
    </row>
    <row r="32" spans="1:23" x14ac:dyDescent="0.3">
      <c r="A32" s="15" t="s">
        <v>283</v>
      </c>
      <c r="B32" s="15">
        <v>2.39439</v>
      </c>
      <c r="C32" s="15">
        <v>5.8119999999999998E-2</v>
      </c>
      <c r="D32" s="16">
        <f t="shared" si="0"/>
        <v>58.12</v>
      </c>
      <c r="E32" s="15"/>
      <c r="F32" s="15">
        <v>4.1200000000000001E-2</v>
      </c>
      <c r="G32" s="15">
        <v>0.13644000000000001</v>
      </c>
      <c r="I32" s="15" t="s">
        <v>286</v>
      </c>
      <c r="J32" s="15">
        <v>3.04887</v>
      </c>
      <c r="K32" s="15">
        <v>6.9769999999999999E-2</v>
      </c>
      <c r="L32" s="16">
        <f t="shared" si="1"/>
        <v>69.77</v>
      </c>
      <c r="M32" s="15"/>
      <c r="N32" s="15">
        <v>4.3700000000000003E-2</v>
      </c>
      <c r="O32" s="15">
        <v>0.17157</v>
      </c>
      <c r="P32" s="14"/>
      <c r="Q32" s="15" t="s">
        <v>234</v>
      </c>
      <c r="R32" s="15">
        <v>1.97417</v>
      </c>
      <c r="S32" s="15">
        <v>6.2280000000000002E-2</v>
      </c>
      <c r="T32" s="16">
        <f t="shared" si="2"/>
        <v>62.28</v>
      </c>
      <c r="U32" s="15" t="s">
        <v>235</v>
      </c>
      <c r="V32" s="15">
        <v>3.1699999999999999E-2</v>
      </c>
      <c r="W32" s="2">
        <f>(T32/61)</f>
        <v>1.020983606557377</v>
      </c>
    </row>
    <row r="33" spans="1:23" x14ac:dyDescent="0.3">
      <c r="A33" s="15" t="s">
        <v>284</v>
      </c>
      <c r="B33" s="15">
        <v>3.0794899999999998</v>
      </c>
      <c r="C33" s="15">
        <v>7.9369999999999996E-2</v>
      </c>
      <c r="D33" s="16">
        <f t="shared" si="0"/>
        <v>79.36999999999999</v>
      </c>
      <c r="E33" s="15"/>
      <c r="F33" s="15">
        <v>3.8800000000000001E-2</v>
      </c>
      <c r="G33" s="15">
        <v>0.17319999999999999</v>
      </c>
      <c r="I33" s="15" t="s">
        <v>287</v>
      </c>
      <c r="J33" s="15">
        <v>2.05619</v>
      </c>
      <c r="K33" s="15">
        <v>6.8089999999999998E-2</v>
      </c>
      <c r="L33" s="16">
        <f t="shared" si="1"/>
        <v>68.09</v>
      </c>
      <c r="M33" s="15"/>
      <c r="N33" s="15">
        <v>3.0200000000000001E-2</v>
      </c>
      <c r="O33" s="15">
        <v>0.11799999999999999</v>
      </c>
      <c r="P33" s="14"/>
      <c r="Q33" s="15" t="s">
        <v>237</v>
      </c>
      <c r="R33" s="15">
        <v>6.1828900000000004</v>
      </c>
      <c r="S33" s="15">
        <v>9.2280000000000001E-2</v>
      </c>
      <c r="T33" s="16">
        <f t="shared" si="2"/>
        <v>92.28</v>
      </c>
      <c r="U33" s="15" t="s">
        <v>238</v>
      </c>
      <c r="V33" s="15">
        <v>6.7000000000000004E-2</v>
      </c>
      <c r="W33" s="2">
        <f>(T33/91)</f>
        <v>1.0140659340659341</v>
      </c>
    </row>
    <row r="34" spans="1:23" x14ac:dyDescent="0.3">
      <c r="A34" s="15" t="s">
        <v>285</v>
      </c>
      <c r="B34" s="15">
        <v>4.0751099999999996</v>
      </c>
      <c r="C34" s="15">
        <v>7.5749999999999998E-2</v>
      </c>
      <c r="D34" s="16">
        <f t="shared" si="0"/>
        <v>75.75</v>
      </c>
      <c r="E34" s="15"/>
      <c r="F34" s="15">
        <v>5.3800000000000001E-2</v>
      </c>
      <c r="G34" s="15">
        <v>0.22523000000000001</v>
      </c>
      <c r="I34" s="15" t="s">
        <v>288</v>
      </c>
      <c r="J34" s="15">
        <v>4.0984400000000001</v>
      </c>
      <c r="K34" s="15">
        <v>7.8210000000000002E-2</v>
      </c>
      <c r="L34" s="16">
        <f t="shared" si="1"/>
        <v>78.210000000000008</v>
      </c>
      <c r="M34" s="15"/>
      <c r="N34" s="15">
        <v>5.2400000000000002E-2</v>
      </c>
      <c r="O34" s="15">
        <v>0.22642999999999999</v>
      </c>
      <c r="P34" s="14"/>
      <c r="Q34" s="15" t="s">
        <v>239</v>
      </c>
      <c r="R34" s="15">
        <v>13.314439999999999</v>
      </c>
      <c r="S34" s="15">
        <v>0.28149000000000002</v>
      </c>
      <c r="T34" s="16">
        <f t="shared" si="2"/>
        <v>281.49</v>
      </c>
      <c r="U34" s="15" t="s">
        <v>240</v>
      </c>
      <c r="V34" s="15">
        <v>4.7300000000000002E-2</v>
      </c>
      <c r="W34" s="2">
        <f>(T34/270)</f>
        <v>1.0425555555555557</v>
      </c>
    </row>
    <row r="35" spans="1:23" x14ac:dyDescent="0.3">
      <c r="A35" s="15" t="s">
        <v>286</v>
      </c>
      <c r="B35" s="15">
        <v>3.04887</v>
      </c>
      <c r="C35" s="15">
        <v>6.9769999999999999E-2</v>
      </c>
      <c r="D35" s="16">
        <f t="shared" si="0"/>
        <v>69.77</v>
      </c>
      <c r="E35" s="15"/>
      <c r="F35" s="15">
        <v>4.3700000000000003E-2</v>
      </c>
      <c r="G35" s="15">
        <v>0.17157</v>
      </c>
      <c r="I35" s="15" t="s">
        <v>289</v>
      </c>
      <c r="J35" s="15">
        <v>2.6514899999999999</v>
      </c>
      <c r="K35" s="15">
        <v>6.2829999999999997E-2</v>
      </c>
      <c r="L35" s="16">
        <f t="shared" si="1"/>
        <v>62.83</v>
      </c>
      <c r="M35" s="15"/>
      <c r="N35" s="15">
        <v>4.2200000000000001E-2</v>
      </c>
      <c r="O35" s="15">
        <v>0.15032999999999999</v>
      </c>
      <c r="P35" s="14"/>
    </row>
    <row r="36" spans="1:23" x14ac:dyDescent="0.3">
      <c r="A36" s="15" t="s">
        <v>287</v>
      </c>
      <c r="B36" s="15">
        <v>2.05619</v>
      </c>
      <c r="C36" s="15">
        <v>6.8089999999999998E-2</v>
      </c>
      <c r="D36" s="16">
        <f t="shared" si="0"/>
        <v>68.09</v>
      </c>
      <c r="E36" s="15"/>
      <c r="F36" s="15">
        <v>3.0200000000000001E-2</v>
      </c>
      <c r="G36" s="15">
        <v>0.11799999999999999</v>
      </c>
      <c r="I36" s="15" t="s">
        <v>290</v>
      </c>
      <c r="J36" s="15">
        <v>4.6733700000000002</v>
      </c>
      <c r="K36" s="15">
        <v>8.1559999999999994E-2</v>
      </c>
      <c r="L36" s="16">
        <f t="shared" si="1"/>
        <v>81.559999999999988</v>
      </c>
      <c r="M36" s="15"/>
      <c r="N36" s="15">
        <v>5.7299999999999997E-2</v>
      </c>
      <c r="O36" s="15">
        <v>0.25568999999999997</v>
      </c>
      <c r="P36" s="14"/>
    </row>
    <row r="37" spans="1:23" x14ac:dyDescent="0.3">
      <c r="A37" s="15" t="s">
        <v>288</v>
      </c>
      <c r="B37" s="15">
        <v>4.0984400000000001</v>
      </c>
      <c r="C37" s="15">
        <v>7.8210000000000002E-2</v>
      </c>
      <c r="D37" s="16">
        <f t="shared" si="0"/>
        <v>78.210000000000008</v>
      </c>
      <c r="E37" s="15"/>
      <c r="F37" s="15">
        <v>5.2400000000000002E-2</v>
      </c>
      <c r="G37" s="15">
        <v>0.22642999999999999</v>
      </c>
      <c r="I37" s="15" t="s">
        <v>291</v>
      </c>
      <c r="J37" s="15">
        <v>4.08629</v>
      </c>
      <c r="K37" s="15">
        <v>7.3760000000000006E-2</v>
      </c>
      <c r="L37" s="16">
        <f t="shared" si="1"/>
        <v>73.760000000000005</v>
      </c>
      <c r="M37" s="15"/>
      <c r="N37" s="15">
        <v>5.5399999999999998E-2</v>
      </c>
      <c r="O37" s="15">
        <v>0.2258</v>
      </c>
      <c r="P37" s="14"/>
    </row>
    <row r="38" spans="1:23" x14ac:dyDescent="0.3">
      <c r="A38" s="15" t="s">
        <v>289</v>
      </c>
      <c r="B38" s="15">
        <v>2.6514899999999999</v>
      </c>
      <c r="C38" s="15">
        <v>6.2829999999999997E-2</v>
      </c>
      <c r="D38" s="16">
        <f t="shared" si="0"/>
        <v>62.83</v>
      </c>
      <c r="E38" s="15"/>
      <c r="F38" s="15">
        <v>4.2200000000000001E-2</v>
      </c>
      <c r="G38" s="15">
        <v>0.15032999999999999</v>
      </c>
      <c r="I38" s="15" t="s">
        <v>292</v>
      </c>
      <c r="J38" s="15">
        <v>2.7662</v>
      </c>
      <c r="K38" s="15">
        <v>6.4630000000000007E-2</v>
      </c>
      <c r="L38" s="16">
        <f t="shared" si="1"/>
        <v>64.63000000000001</v>
      </c>
      <c r="M38" s="15"/>
      <c r="N38" s="15">
        <v>4.2799999999999998E-2</v>
      </c>
      <c r="O38" s="15">
        <v>0.15648999999999999</v>
      </c>
      <c r="P38" s="14"/>
    </row>
    <row r="39" spans="1:23" x14ac:dyDescent="0.3">
      <c r="A39" s="15" t="s">
        <v>290</v>
      </c>
      <c r="B39" s="15">
        <v>4.6733700000000002</v>
      </c>
      <c r="C39" s="15">
        <v>8.1559999999999994E-2</v>
      </c>
      <c r="D39" s="16">
        <f t="shared" si="0"/>
        <v>81.559999999999988</v>
      </c>
      <c r="E39" s="15"/>
      <c r="F39" s="15">
        <v>5.7299999999999997E-2</v>
      </c>
      <c r="G39" s="15">
        <v>0.25568999999999997</v>
      </c>
      <c r="I39" s="15" t="s">
        <v>293</v>
      </c>
      <c r="J39" s="15">
        <v>3.0435099999999999</v>
      </c>
      <c r="K39" s="15">
        <v>6.8860000000000005E-2</v>
      </c>
      <c r="L39" s="16">
        <f t="shared" si="1"/>
        <v>68.86</v>
      </c>
      <c r="M39" s="15"/>
      <c r="N39" s="15">
        <v>4.4200000000000003E-2</v>
      </c>
      <c r="O39" s="15">
        <v>0.17129</v>
      </c>
      <c r="P39" s="14"/>
    </row>
    <row r="40" spans="1:23" x14ac:dyDescent="0.3">
      <c r="A40" s="15" t="s">
        <v>291</v>
      </c>
      <c r="B40" s="15">
        <v>4.08629</v>
      </c>
      <c r="C40" s="15">
        <v>7.3760000000000006E-2</v>
      </c>
      <c r="D40" s="16">
        <f t="shared" si="0"/>
        <v>73.760000000000005</v>
      </c>
      <c r="E40" s="15"/>
      <c r="F40" s="15">
        <v>5.5399999999999998E-2</v>
      </c>
      <c r="G40" s="15">
        <v>0.2258</v>
      </c>
      <c r="I40" s="15" t="s">
        <v>294</v>
      </c>
      <c r="J40" s="15">
        <v>4.1516000000000002</v>
      </c>
      <c r="K40" s="15">
        <v>7.1580000000000005E-2</v>
      </c>
      <c r="L40" s="16">
        <f t="shared" si="1"/>
        <v>71.58</v>
      </c>
      <c r="M40" s="15"/>
      <c r="N40" s="15">
        <v>5.8000000000000003E-2</v>
      </c>
      <c r="O40" s="15">
        <v>0.22916</v>
      </c>
      <c r="P40" s="14"/>
    </row>
    <row r="41" spans="1:23" x14ac:dyDescent="0.3">
      <c r="A41" s="15" t="s">
        <v>292</v>
      </c>
      <c r="B41" s="15">
        <v>2.7662</v>
      </c>
      <c r="C41" s="15">
        <v>6.4630000000000007E-2</v>
      </c>
      <c r="D41" s="16">
        <f t="shared" si="0"/>
        <v>64.63000000000001</v>
      </c>
      <c r="E41" s="15"/>
      <c r="F41" s="15">
        <v>4.2799999999999998E-2</v>
      </c>
      <c r="G41" s="15">
        <v>0.15648999999999999</v>
      </c>
      <c r="I41" s="15" t="s">
        <v>295</v>
      </c>
      <c r="J41" s="15">
        <v>6.1634700000000002</v>
      </c>
      <c r="K41" s="15">
        <v>8.5599999999999996E-2</v>
      </c>
      <c r="L41" s="16">
        <f t="shared" si="1"/>
        <v>85.6</v>
      </c>
      <c r="M41" s="15"/>
      <c r="N41" s="15">
        <v>7.1999999999999995E-2</v>
      </c>
      <c r="O41" s="15">
        <v>0.32896999999999998</v>
      </c>
      <c r="P41" s="14"/>
    </row>
    <row r="42" spans="1:23" x14ac:dyDescent="0.3">
      <c r="A42" s="15" t="s">
        <v>293</v>
      </c>
      <c r="B42" s="15">
        <v>3.0435099999999999</v>
      </c>
      <c r="C42" s="15">
        <v>6.8860000000000005E-2</v>
      </c>
      <c r="D42" s="16">
        <f t="shared" si="0"/>
        <v>68.86</v>
      </c>
      <c r="E42" s="15"/>
      <c r="F42" s="15">
        <v>4.4200000000000003E-2</v>
      </c>
      <c r="G42" s="15">
        <v>0.17129</v>
      </c>
      <c r="I42" s="15" t="s">
        <v>296</v>
      </c>
      <c r="J42" s="15">
        <v>3.4145599999999998</v>
      </c>
      <c r="K42" s="15">
        <v>7.1730000000000002E-2</v>
      </c>
      <c r="L42" s="16">
        <f t="shared" si="1"/>
        <v>71.73</v>
      </c>
      <c r="M42" s="15"/>
      <c r="N42" s="15">
        <v>4.7600000000000003E-2</v>
      </c>
      <c r="O42" s="15">
        <v>0.19089</v>
      </c>
      <c r="P42" s="14"/>
    </row>
    <row r="43" spans="1:23" x14ac:dyDescent="0.3">
      <c r="A43" s="15" t="s">
        <v>294</v>
      </c>
      <c r="B43" s="15">
        <v>4.1516000000000002</v>
      </c>
      <c r="C43" s="15">
        <v>7.1580000000000005E-2</v>
      </c>
      <c r="D43" s="16">
        <f t="shared" si="0"/>
        <v>71.58</v>
      </c>
      <c r="E43" s="15"/>
      <c r="F43" s="15">
        <v>5.8000000000000003E-2</v>
      </c>
      <c r="G43" s="15">
        <v>0.22916</v>
      </c>
      <c r="I43" s="15" t="s">
        <v>297</v>
      </c>
      <c r="J43" s="15">
        <v>2.8037800000000002</v>
      </c>
      <c r="K43" s="15">
        <v>7.8759999999999997E-2</v>
      </c>
      <c r="L43" s="16">
        <f t="shared" si="1"/>
        <v>78.759999999999991</v>
      </c>
      <c r="M43" s="15"/>
      <c r="N43" s="15">
        <v>3.56E-2</v>
      </c>
      <c r="O43" s="15">
        <v>0.1585</v>
      </c>
      <c r="P43" s="14"/>
    </row>
    <row r="44" spans="1:23" x14ac:dyDescent="0.3">
      <c r="A44" s="15" t="s">
        <v>295</v>
      </c>
      <c r="B44" s="15">
        <v>6.1634700000000002</v>
      </c>
      <c r="C44" s="15">
        <v>8.5599999999999996E-2</v>
      </c>
      <c r="D44" s="16">
        <f t="shared" si="0"/>
        <v>85.6</v>
      </c>
      <c r="E44" s="15"/>
      <c r="F44" s="15">
        <v>7.1999999999999995E-2</v>
      </c>
      <c r="G44" s="15">
        <v>0.32896999999999998</v>
      </c>
      <c r="I44" s="15" t="s">
        <v>298</v>
      </c>
      <c r="J44" s="15">
        <v>3.1051600000000001</v>
      </c>
      <c r="K44" s="15">
        <v>7.5740000000000002E-2</v>
      </c>
      <c r="L44" s="16">
        <f t="shared" si="1"/>
        <v>75.739999999999995</v>
      </c>
      <c r="M44" s="15"/>
      <c r="N44" s="15">
        <v>4.1000000000000002E-2</v>
      </c>
      <c r="O44" s="15">
        <v>0.17455999999999999</v>
      </c>
      <c r="P44" s="14"/>
    </row>
    <row r="45" spans="1:23" x14ac:dyDescent="0.3">
      <c r="A45" s="15" t="s">
        <v>296</v>
      </c>
      <c r="B45" s="15">
        <v>3.4145599999999998</v>
      </c>
      <c r="C45" s="15">
        <v>7.1730000000000002E-2</v>
      </c>
      <c r="D45" s="16">
        <f t="shared" si="0"/>
        <v>71.73</v>
      </c>
      <c r="E45" s="15"/>
      <c r="F45" s="15">
        <v>4.7600000000000003E-2</v>
      </c>
      <c r="G45" s="15">
        <v>0.19089</v>
      </c>
      <c r="I45" s="15" t="s">
        <v>299</v>
      </c>
      <c r="J45" s="15">
        <v>2.9591599999999998</v>
      </c>
      <c r="K45" s="15">
        <v>8.8069999999999996E-2</v>
      </c>
      <c r="L45" s="16">
        <f t="shared" si="1"/>
        <v>88.07</v>
      </c>
      <c r="M45" s="15"/>
      <c r="N45" s="15">
        <v>3.3599999999999998E-2</v>
      </c>
      <c r="O45" s="15">
        <v>0.1668</v>
      </c>
      <c r="P45" s="14"/>
    </row>
    <row r="46" spans="1:23" x14ac:dyDescent="0.3">
      <c r="A46" s="15" t="s">
        <v>297</v>
      </c>
      <c r="B46" s="15">
        <v>2.8037800000000002</v>
      </c>
      <c r="C46" s="15">
        <v>7.8759999999999997E-2</v>
      </c>
      <c r="D46" s="16">
        <f t="shared" si="0"/>
        <v>78.759999999999991</v>
      </c>
      <c r="E46" s="15"/>
      <c r="F46" s="15">
        <v>3.56E-2</v>
      </c>
      <c r="G46" s="15">
        <v>0.1585</v>
      </c>
      <c r="I46" s="15" t="s">
        <v>300</v>
      </c>
      <c r="J46" s="15">
        <v>2.9235199999999999</v>
      </c>
      <c r="K46" s="15">
        <v>7.4200000000000002E-2</v>
      </c>
      <c r="L46" s="16">
        <f t="shared" si="1"/>
        <v>74.2</v>
      </c>
      <c r="M46" s="15"/>
      <c r="N46" s="15">
        <v>3.9399999999999998E-2</v>
      </c>
      <c r="O46" s="15">
        <v>0.16489999999999999</v>
      </c>
      <c r="P46" s="14"/>
    </row>
    <row r="47" spans="1:23" x14ac:dyDescent="0.3">
      <c r="A47" s="15" t="s">
        <v>298</v>
      </c>
      <c r="B47" s="15">
        <v>3.1051600000000001</v>
      </c>
      <c r="C47" s="15">
        <v>7.5740000000000002E-2</v>
      </c>
      <c r="D47" s="16">
        <f t="shared" si="0"/>
        <v>75.739999999999995</v>
      </c>
      <c r="E47" s="15"/>
      <c r="F47" s="15">
        <v>4.1000000000000002E-2</v>
      </c>
      <c r="G47" s="15">
        <v>0.17455999999999999</v>
      </c>
      <c r="I47" s="15" t="s">
        <v>301</v>
      </c>
      <c r="J47" s="15">
        <v>4.0019299999999998</v>
      </c>
      <c r="K47" s="15">
        <v>7.1980000000000002E-2</v>
      </c>
      <c r="L47" s="16">
        <f t="shared" si="1"/>
        <v>71.98</v>
      </c>
      <c r="M47" s="15"/>
      <c r="N47" s="15">
        <v>5.5599999999999997E-2</v>
      </c>
      <c r="O47" s="15">
        <v>0.22145999999999999</v>
      </c>
      <c r="P47" s="14"/>
    </row>
    <row r="48" spans="1:23" x14ac:dyDescent="0.3">
      <c r="A48" s="15" t="s">
        <v>299</v>
      </c>
      <c r="B48" s="15">
        <v>2.9591599999999998</v>
      </c>
      <c r="C48" s="15">
        <v>8.8069999999999996E-2</v>
      </c>
      <c r="D48" s="16">
        <f t="shared" si="0"/>
        <v>88.07</v>
      </c>
      <c r="E48" s="15"/>
      <c r="F48" s="15">
        <v>3.3599999999999998E-2</v>
      </c>
      <c r="G48" s="15">
        <v>0.1668</v>
      </c>
      <c r="I48" s="15" t="s">
        <v>302</v>
      </c>
      <c r="J48" s="15">
        <v>3.7759</v>
      </c>
      <c r="K48" s="15">
        <v>7.4480000000000005E-2</v>
      </c>
      <c r="L48" s="16">
        <f t="shared" si="1"/>
        <v>74.48</v>
      </c>
      <c r="M48" s="15"/>
      <c r="N48" s="15">
        <v>5.0700000000000002E-2</v>
      </c>
      <c r="O48" s="15">
        <v>0.20977000000000001</v>
      </c>
      <c r="P48" s="14"/>
    </row>
    <row r="49" spans="1:16" x14ac:dyDescent="0.3">
      <c r="A49" s="15" t="s">
        <v>300</v>
      </c>
      <c r="B49" s="15">
        <v>2.9235199999999999</v>
      </c>
      <c r="C49" s="15">
        <v>7.4200000000000002E-2</v>
      </c>
      <c r="D49" s="16">
        <f t="shared" si="0"/>
        <v>74.2</v>
      </c>
      <c r="E49" s="15"/>
      <c r="F49" s="15">
        <v>3.9399999999999998E-2</v>
      </c>
      <c r="G49" s="15">
        <v>0.16489999999999999</v>
      </c>
      <c r="I49" s="15" t="s">
        <v>303</v>
      </c>
      <c r="J49" s="16">
        <v>2.6139600000000001</v>
      </c>
      <c r="K49" s="16">
        <v>6.4479999999999996E-2</v>
      </c>
      <c r="L49" s="16">
        <f t="shared" si="1"/>
        <v>64.47999999999999</v>
      </c>
      <c r="M49" s="15"/>
      <c r="N49" s="16">
        <v>4.0399999999999998E-2</v>
      </c>
      <c r="O49" s="16">
        <v>0.14821999999999999</v>
      </c>
      <c r="P49" s="14"/>
    </row>
    <row r="50" spans="1:16" x14ac:dyDescent="0.3">
      <c r="A50" s="15" t="s">
        <v>301</v>
      </c>
      <c r="B50" s="15">
        <v>4.0019299999999998</v>
      </c>
      <c r="C50" s="15">
        <v>7.1980000000000002E-2</v>
      </c>
      <c r="D50" s="16">
        <f t="shared" si="0"/>
        <v>71.98</v>
      </c>
      <c r="E50" s="15"/>
      <c r="F50" s="15">
        <v>5.5599999999999997E-2</v>
      </c>
      <c r="G50" s="15">
        <v>0.22145999999999999</v>
      </c>
      <c r="I50" s="15" t="s">
        <v>233</v>
      </c>
      <c r="J50" s="15">
        <v>1.0500000000000001E-2</v>
      </c>
      <c r="K50" s="15">
        <v>5.0000000000000002E-5</v>
      </c>
      <c r="L50" s="16">
        <f t="shared" si="1"/>
        <v>0.05</v>
      </c>
      <c r="M50" s="15"/>
      <c r="N50" s="15">
        <v>0.2</v>
      </c>
      <c r="O50" s="15">
        <v>2.3999999999999998E-3</v>
      </c>
      <c r="P50" s="14"/>
    </row>
    <row r="51" spans="1:16" x14ac:dyDescent="0.3">
      <c r="A51" s="15" t="s">
        <v>302</v>
      </c>
      <c r="B51" s="15">
        <v>3.7759</v>
      </c>
      <c r="C51" s="15">
        <v>7.4480000000000005E-2</v>
      </c>
      <c r="D51" s="16">
        <f t="shared" si="0"/>
        <v>74.48</v>
      </c>
      <c r="E51" s="15"/>
      <c r="F51" s="15">
        <v>5.0700000000000002E-2</v>
      </c>
      <c r="G51" s="15">
        <v>0.20977000000000001</v>
      </c>
      <c r="I51" s="15" t="s">
        <v>233</v>
      </c>
      <c r="J51" s="15">
        <v>2.4250000000000001E-2</v>
      </c>
      <c r="K51" s="15">
        <v>1.2E-4</v>
      </c>
      <c r="L51" s="16">
        <f t="shared" si="1"/>
        <v>0.12000000000000001</v>
      </c>
      <c r="M51" s="15"/>
      <c r="N51" s="15">
        <v>0.2</v>
      </c>
      <c r="O51" s="15">
        <v>3.2000000000000002E-3</v>
      </c>
      <c r="P51" s="14"/>
    </row>
    <row r="52" spans="1:16" x14ac:dyDescent="0.3">
      <c r="A52" s="15" t="s">
        <v>303</v>
      </c>
      <c r="B52" s="15">
        <v>2.9318</v>
      </c>
      <c r="C52" s="15">
        <v>6.7239999999999994E-2</v>
      </c>
      <c r="D52" s="16">
        <f t="shared" si="0"/>
        <v>67.239999999999995</v>
      </c>
      <c r="E52" s="15"/>
      <c r="F52" s="15">
        <v>4.36E-2</v>
      </c>
      <c r="G52" s="15">
        <v>0.16533999999999999</v>
      </c>
      <c r="I52" s="15" t="s">
        <v>233</v>
      </c>
      <c r="J52" s="15">
        <v>2.0809999999999999E-2</v>
      </c>
      <c r="K52" s="15">
        <v>1E-4</v>
      </c>
      <c r="L52" s="16">
        <f t="shared" si="1"/>
        <v>0.1</v>
      </c>
      <c r="M52" s="15"/>
      <c r="N52" s="15">
        <v>0.2</v>
      </c>
      <c r="O52" s="15">
        <v>3.0000000000000001E-3</v>
      </c>
      <c r="P52" s="14"/>
    </row>
    <row r="53" spans="1:16" x14ac:dyDescent="0.3">
      <c r="A53" s="15" t="s">
        <v>303</v>
      </c>
      <c r="B53" s="15">
        <v>2.2961200000000002</v>
      </c>
      <c r="C53" s="15">
        <v>6.1719999999999997E-2</v>
      </c>
      <c r="D53" s="16">
        <f t="shared" si="0"/>
        <v>61.72</v>
      </c>
      <c r="E53" s="15"/>
      <c r="F53" s="15">
        <v>3.7199999999999997E-2</v>
      </c>
      <c r="G53" s="15">
        <v>0.13109999999999999</v>
      </c>
      <c r="I53" s="15" t="s">
        <v>234</v>
      </c>
      <c r="J53" s="15">
        <v>7.8708299999999998</v>
      </c>
      <c r="K53" s="15">
        <v>5.8520000000000003E-2</v>
      </c>
      <c r="L53" s="16">
        <f t="shared" si="1"/>
        <v>58.52</v>
      </c>
      <c r="M53" s="15" t="s">
        <v>235</v>
      </c>
      <c r="N53" s="15">
        <v>0.13450000000000001</v>
      </c>
      <c r="O53" s="15">
        <v>0.40837000000000001</v>
      </c>
      <c r="P53" s="14">
        <f>(L53/61)</f>
        <v>0.95934426229508207</v>
      </c>
    </row>
    <row r="54" spans="1:16" x14ac:dyDescent="0.3">
      <c r="A54" s="15" t="s">
        <v>233</v>
      </c>
      <c r="B54" s="15">
        <v>1.0500000000000001E-2</v>
      </c>
      <c r="C54" s="15">
        <v>5.0000000000000002E-5</v>
      </c>
      <c r="D54" s="16">
        <f t="shared" si="0"/>
        <v>0.05</v>
      </c>
      <c r="E54" s="15"/>
      <c r="F54" s="15">
        <v>0.2</v>
      </c>
      <c r="G54" s="15">
        <v>2.3999999999999998E-3</v>
      </c>
      <c r="I54" s="15" t="s">
        <v>237</v>
      </c>
      <c r="J54" s="15">
        <v>5.0085899999999999</v>
      </c>
      <c r="K54" s="15">
        <v>9.1230000000000006E-2</v>
      </c>
      <c r="L54" s="16">
        <f t="shared" si="1"/>
        <v>91.23</v>
      </c>
      <c r="M54" s="15" t="s">
        <v>238</v>
      </c>
      <c r="N54" s="15">
        <v>5.4899999999999997E-2</v>
      </c>
      <c r="O54" s="15">
        <v>0.27250000000000002</v>
      </c>
      <c r="P54" s="2">
        <f>(L54/91)</f>
        <v>1.0025274725274727</v>
      </c>
    </row>
    <row r="55" spans="1:16" x14ac:dyDescent="0.3">
      <c r="A55" s="15" t="s">
        <v>233</v>
      </c>
      <c r="B55" s="15">
        <v>2.4250000000000001E-2</v>
      </c>
      <c r="C55" s="15">
        <v>1.2E-4</v>
      </c>
      <c r="D55" s="16">
        <f t="shared" si="0"/>
        <v>0.12000000000000001</v>
      </c>
      <c r="E55" s="15"/>
      <c r="F55" s="15">
        <v>0.2</v>
      </c>
      <c r="G55" s="15">
        <v>3.2000000000000002E-3</v>
      </c>
      <c r="I55" s="15" t="s">
        <v>239</v>
      </c>
      <c r="J55" s="15">
        <v>14.84376</v>
      </c>
      <c r="K55" s="15">
        <v>0.26794000000000001</v>
      </c>
      <c r="L55" s="16">
        <f t="shared" si="1"/>
        <v>267.94</v>
      </c>
      <c r="M55" s="15" t="s">
        <v>240</v>
      </c>
      <c r="N55" s="15">
        <v>5.5399999999999998E-2</v>
      </c>
      <c r="O55" s="15">
        <v>0.68201999999999996</v>
      </c>
      <c r="P55" s="14">
        <f>(L55/270)</f>
        <v>0.99237037037037035</v>
      </c>
    </row>
    <row r="56" spans="1:16" x14ac:dyDescent="0.3">
      <c r="A56" s="15" t="s">
        <v>233</v>
      </c>
      <c r="B56" s="15">
        <v>2.0809999999999999E-2</v>
      </c>
      <c r="C56" s="15">
        <v>1E-4</v>
      </c>
      <c r="D56" s="16">
        <f t="shared" si="0"/>
        <v>0.1</v>
      </c>
      <c r="E56" s="15"/>
      <c r="F56" s="15">
        <v>0.2</v>
      </c>
      <c r="G56" s="15">
        <v>3.0000000000000001E-3</v>
      </c>
      <c r="I56" s="10"/>
      <c r="J56" s="10"/>
      <c r="K56" s="10"/>
      <c r="L56" s="10"/>
      <c r="M56" s="10"/>
      <c r="N56" s="10"/>
      <c r="O56" s="10"/>
    </row>
    <row r="57" spans="1:16" x14ac:dyDescent="0.3">
      <c r="A57" s="15" t="s">
        <v>234</v>
      </c>
      <c r="B57" s="15">
        <v>7.8708299999999998</v>
      </c>
      <c r="C57" s="15">
        <v>5.8520000000000003E-2</v>
      </c>
      <c r="D57" s="16">
        <f t="shared" si="0"/>
        <v>58.52</v>
      </c>
      <c r="E57" s="15" t="s">
        <v>235</v>
      </c>
      <c r="F57" s="15">
        <v>0.13450000000000001</v>
      </c>
      <c r="G57" s="15">
        <v>0.40837000000000001</v>
      </c>
      <c r="H57" s="2">
        <f>(D57/61)</f>
        <v>0.95934426229508207</v>
      </c>
      <c r="I57" s="10"/>
      <c r="J57" s="10"/>
      <c r="K57" s="10"/>
      <c r="L57" s="10"/>
      <c r="M57" s="10"/>
      <c r="N57" s="10"/>
      <c r="O57" s="10"/>
    </row>
    <row r="58" spans="1:16" x14ac:dyDescent="0.3">
      <c r="A58" s="15" t="s">
        <v>237</v>
      </c>
      <c r="B58" s="15">
        <v>5.0085899999999999</v>
      </c>
      <c r="C58" s="15">
        <v>9.1230000000000006E-2</v>
      </c>
      <c r="D58" s="16">
        <f t="shared" si="0"/>
        <v>91.23</v>
      </c>
      <c r="E58" s="15" t="s">
        <v>238</v>
      </c>
      <c r="F58" s="15">
        <v>5.4899999999999997E-2</v>
      </c>
      <c r="G58" s="15">
        <v>0.27250000000000002</v>
      </c>
      <c r="H58" s="2">
        <f>(D58/91)</f>
        <v>1.0025274725274727</v>
      </c>
      <c r="I58" s="10"/>
      <c r="J58" s="10"/>
      <c r="K58" s="10"/>
      <c r="L58" s="10"/>
      <c r="M58" s="10"/>
      <c r="N58" s="10"/>
      <c r="O58" s="10"/>
    </row>
    <row r="59" spans="1:16" x14ac:dyDescent="0.3">
      <c r="A59" s="15" t="s">
        <v>239</v>
      </c>
      <c r="B59" s="15">
        <v>14.84376</v>
      </c>
      <c r="C59" s="15">
        <v>0.26794000000000001</v>
      </c>
      <c r="D59" s="16">
        <f t="shared" si="0"/>
        <v>267.94</v>
      </c>
      <c r="E59" s="15" t="s">
        <v>240</v>
      </c>
      <c r="F59" s="15">
        <v>5.5399999999999998E-2</v>
      </c>
      <c r="G59" s="15">
        <v>0.68201999999999996</v>
      </c>
      <c r="H59" s="2">
        <f>(D59/270)</f>
        <v>0.99237037037037035</v>
      </c>
      <c r="I59" s="10"/>
      <c r="J59" s="10"/>
      <c r="K59" s="10"/>
      <c r="L59" s="10"/>
      <c r="M59" s="10"/>
      <c r="N59" s="10"/>
      <c r="O59" s="10"/>
    </row>
    <row r="60" spans="1:16" x14ac:dyDescent="0.3">
      <c r="A60" s="10"/>
      <c r="B60" s="10"/>
      <c r="C60" s="10"/>
      <c r="D60" s="10"/>
      <c r="E60" s="10"/>
      <c r="F60" s="10"/>
      <c r="G60" s="10"/>
      <c r="H60" s="10"/>
      <c r="J60" s="10"/>
      <c r="K60" s="10"/>
      <c r="L60" s="10"/>
      <c r="M60" s="10"/>
      <c r="N60" s="10"/>
      <c r="O60" s="10"/>
      <c r="P60" s="10"/>
    </row>
    <row r="61" spans="1:16" x14ac:dyDescent="0.3">
      <c r="B61" s="10" t="s">
        <v>304</v>
      </c>
      <c r="C61" s="10">
        <v>0.05</v>
      </c>
      <c r="D61" s="10"/>
      <c r="E61" s="10"/>
      <c r="F61" s="10"/>
      <c r="G61" s="10"/>
      <c r="H61" s="10"/>
      <c r="J61" s="10"/>
      <c r="K61" s="10"/>
      <c r="L61" s="10"/>
      <c r="M61" s="10"/>
      <c r="N61" s="10"/>
      <c r="O61" s="10"/>
      <c r="P61" s="10"/>
    </row>
    <row r="62" spans="1:16" x14ac:dyDescent="0.3">
      <c r="B62" s="15" t="s">
        <v>305</v>
      </c>
      <c r="C62" s="2">
        <v>5.5941145543382302E-2</v>
      </c>
    </row>
    <row r="63" spans="1:16" x14ac:dyDescent="0.3">
      <c r="A63" s="15" t="s">
        <v>317</v>
      </c>
      <c r="B63" s="2" t="s">
        <v>306</v>
      </c>
      <c r="C63" s="2">
        <f>(C62*3)</f>
        <v>0.1678234366301469</v>
      </c>
    </row>
    <row r="64" spans="1:16" x14ac:dyDescent="0.3">
      <c r="A64" s="15"/>
    </row>
    <row r="65" spans="1:8" x14ac:dyDescent="0.3">
      <c r="A65" s="2" t="s">
        <v>318</v>
      </c>
      <c r="B65" s="17" t="s">
        <v>319</v>
      </c>
      <c r="C65" s="14" t="s">
        <v>320</v>
      </c>
      <c r="D65" s="14" t="s">
        <v>313</v>
      </c>
      <c r="E65" s="14" t="s">
        <v>321</v>
      </c>
      <c r="F65" s="14" t="s">
        <v>65</v>
      </c>
      <c r="G65" s="14" t="s">
        <v>313</v>
      </c>
      <c r="H65" s="14" t="s">
        <v>65</v>
      </c>
    </row>
    <row r="66" spans="1:8" x14ac:dyDescent="0.3">
      <c r="A66" s="2" t="s">
        <v>322</v>
      </c>
      <c r="B66" s="17">
        <f>AVERAGE(57.4,64.6)</f>
        <v>61</v>
      </c>
      <c r="C66" s="18">
        <f>AVERAGE(D5, D57, L5, L53, T5, T32)</f>
        <v>59.359999999999992</v>
      </c>
      <c r="D66" s="18">
        <f>_xlfn.STDEV.S(D5, D57, L5, L53, T5, T32)</f>
        <v>1.4488064052867793</v>
      </c>
      <c r="E66" s="2">
        <f>(C66/B66)</f>
        <v>0.97311475409836057</v>
      </c>
      <c r="F66" s="2">
        <f>(E66*100)</f>
        <v>97.311475409836063</v>
      </c>
      <c r="G66" s="2">
        <f>_xlfn.STDEV.S(H5, H57, P5, P53, W5, W32)</f>
        <v>2.3750924676832392E-2</v>
      </c>
      <c r="H66" s="2">
        <f>(G66*100)</f>
        <v>2.3750924676832392</v>
      </c>
    </row>
    <row r="67" spans="1:8" x14ac:dyDescent="0.3">
      <c r="A67" s="2" t="s">
        <v>323</v>
      </c>
      <c r="B67" s="17">
        <v>91</v>
      </c>
      <c r="C67" s="18">
        <f>AVERAGE(D6, D58, L6, L54, T6, T33)</f>
        <v>91.02</v>
      </c>
      <c r="D67" s="2">
        <f>_xlfn.STDEV.S(D6, D58, L6, L54, T6, T33)</f>
        <v>0.90736982537442001</v>
      </c>
      <c r="E67" s="2">
        <f>(C67/B67)</f>
        <v>1.0002197802197801</v>
      </c>
      <c r="F67" s="2">
        <f>(E67*100)</f>
        <v>100.02197802197801</v>
      </c>
      <c r="G67" s="2">
        <f>_xlfn.STDEV.S(H6, H58, P6, P54, W6, W33)</f>
        <v>9.9710969821364993E-3</v>
      </c>
      <c r="H67" s="2">
        <f>(G67*100)</f>
        <v>0.99710969821364992</v>
      </c>
    </row>
    <row r="68" spans="1:8" x14ac:dyDescent="0.3">
      <c r="A68" s="2" t="s">
        <v>324</v>
      </c>
      <c r="B68" s="10">
        <v>270</v>
      </c>
      <c r="C68" s="18">
        <f>AVERAGE(D7, D59, L7, L55, T7, T34)</f>
        <v>274.86666666666667</v>
      </c>
      <c r="D68" s="2">
        <f>_xlfn.STDEV.S(D7, D59, L7, L55, T7, T34)</f>
        <v>5.6081785516036033</v>
      </c>
      <c r="E68" s="2">
        <f>(C68/B68)</f>
        <v>1.0180246913580246</v>
      </c>
      <c r="F68" s="2">
        <f>(E68*100)</f>
        <v>101.80246913580247</v>
      </c>
      <c r="G68" s="2">
        <f>_xlfn.STDEV.S(H7, H59, P7, P55, W7, W34)</f>
        <v>2.0771031672605963E-2</v>
      </c>
      <c r="H68" s="2">
        <f>(G68*100)</f>
        <v>2.0771031672605962</v>
      </c>
    </row>
    <row r="69" spans="1:8" x14ac:dyDescent="0.3">
      <c r="B69" s="10"/>
      <c r="C69" s="18"/>
    </row>
    <row r="70" spans="1:8" x14ac:dyDescent="0.3">
      <c r="B70" s="17"/>
      <c r="C70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tabSelected="1" zoomScale="80" zoomScaleNormal="80" workbookViewId="0">
      <selection activeCell="J16" sqref="J16"/>
    </sheetView>
  </sheetViews>
  <sheetFormatPr defaultColWidth="9.54296875" defaultRowHeight="14.4" x14ac:dyDescent="0.3"/>
  <cols>
    <col min="1" max="3" width="9.54296875" style="10"/>
    <col min="4" max="4" width="11.6328125" style="10" bestFit="1" customWidth="1"/>
    <col min="5" max="5" width="9.54296875" style="10"/>
    <col min="6" max="6" width="7.90625" style="10" bestFit="1" customWidth="1"/>
    <col min="7" max="16384" width="9.54296875" style="2"/>
  </cols>
  <sheetData>
    <row r="1" spans="1:6" x14ac:dyDescent="0.3">
      <c r="A1" s="1" t="s">
        <v>121</v>
      </c>
      <c r="B1" s="1" t="s">
        <v>119</v>
      </c>
      <c r="C1" s="1" t="s">
        <v>4</v>
      </c>
      <c r="D1" s="1" t="s">
        <v>3</v>
      </c>
      <c r="E1" s="1" t="s">
        <v>1</v>
      </c>
      <c r="F1" s="1" t="s">
        <v>226</v>
      </c>
    </row>
    <row r="2" spans="1:6" x14ac:dyDescent="0.3">
      <c r="A2" s="3">
        <v>52</v>
      </c>
      <c r="B2" s="3" t="s">
        <v>120</v>
      </c>
      <c r="C2" s="3" t="s">
        <v>14</v>
      </c>
      <c r="D2" s="4">
        <v>41150</v>
      </c>
      <c r="E2" s="5">
        <v>40.571258545178402</v>
      </c>
      <c r="F2" s="5" t="s">
        <v>70</v>
      </c>
    </row>
    <row r="3" spans="1:6" x14ac:dyDescent="0.3">
      <c r="A3" s="6">
        <v>64</v>
      </c>
      <c r="B3" s="6" t="s">
        <v>120</v>
      </c>
      <c r="C3" s="6" t="s">
        <v>8</v>
      </c>
      <c r="D3" s="7">
        <v>41080</v>
      </c>
      <c r="E3" s="5">
        <v>29.58053858449486</v>
      </c>
      <c r="F3" s="5" t="s">
        <v>70</v>
      </c>
    </row>
    <row r="4" spans="1:6" x14ac:dyDescent="0.3">
      <c r="A4" s="6">
        <v>65</v>
      </c>
      <c r="B4" s="6" t="s">
        <v>120</v>
      </c>
      <c r="C4" s="6" t="s">
        <v>8</v>
      </c>
      <c r="D4" s="7">
        <v>41080</v>
      </c>
      <c r="E4" s="5">
        <v>38.403232522704457</v>
      </c>
      <c r="F4" s="5" t="s">
        <v>70</v>
      </c>
    </row>
    <row r="5" spans="1:6" x14ac:dyDescent="0.3">
      <c r="A5" s="8">
        <v>24</v>
      </c>
      <c r="B5" s="6" t="s">
        <v>120</v>
      </c>
      <c r="C5" s="6" t="s">
        <v>8</v>
      </c>
      <c r="D5" s="7">
        <v>41481</v>
      </c>
      <c r="E5" s="5" t="s">
        <v>70</v>
      </c>
      <c r="F5" s="5">
        <v>47.65</v>
      </c>
    </row>
    <row r="6" spans="1:6" x14ac:dyDescent="0.3">
      <c r="A6" s="6">
        <v>25</v>
      </c>
      <c r="B6" s="6" t="s">
        <v>120</v>
      </c>
      <c r="C6" s="6" t="s">
        <v>8</v>
      </c>
      <c r="D6" s="7">
        <v>41481</v>
      </c>
      <c r="E6" s="5">
        <v>34.885406212661614</v>
      </c>
      <c r="F6" s="5" t="s">
        <v>70</v>
      </c>
    </row>
    <row r="7" spans="1:6" x14ac:dyDescent="0.3">
      <c r="A7" s="6">
        <v>26</v>
      </c>
      <c r="B7" s="6" t="s">
        <v>120</v>
      </c>
      <c r="C7" s="6" t="s">
        <v>8</v>
      </c>
      <c r="D7" s="7">
        <v>41481</v>
      </c>
      <c r="E7" s="5">
        <v>33.317512128344561</v>
      </c>
      <c r="F7" s="5" t="s">
        <v>70</v>
      </c>
    </row>
    <row r="8" spans="1:6" x14ac:dyDescent="0.3">
      <c r="A8" s="6">
        <v>27</v>
      </c>
      <c r="B8" s="6" t="s">
        <v>120</v>
      </c>
      <c r="C8" s="6" t="s">
        <v>8</v>
      </c>
      <c r="D8" s="7">
        <v>41481</v>
      </c>
      <c r="E8" s="5">
        <v>41.689548083889051</v>
      </c>
      <c r="F8" s="5" t="s">
        <v>70</v>
      </c>
    </row>
    <row r="9" spans="1:6" x14ac:dyDescent="0.3">
      <c r="A9" s="6">
        <v>28</v>
      </c>
      <c r="B9" s="6" t="s">
        <v>123</v>
      </c>
      <c r="C9" s="6" t="s">
        <v>8</v>
      </c>
      <c r="D9" s="7">
        <v>41481</v>
      </c>
      <c r="E9" s="5">
        <v>4.6141983365317323</v>
      </c>
      <c r="F9" s="5" t="s">
        <v>70</v>
      </c>
    </row>
    <row r="10" spans="1:6" x14ac:dyDescent="0.3">
      <c r="A10" s="8">
        <v>1</v>
      </c>
      <c r="B10" s="8" t="s">
        <v>120</v>
      </c>
      <c r="C10" s="8" t="s">
        <v>8</v>
      </c>
      <c r="D10" s="9">
        <v>41150</v>
      </c>
      <c r="E10" s="5">
        <v>36.557035314582727</v>
      </c>
      <c r="F10" s="5" t="s">
        <v>70</v>
      </c>
    </row>
    <row r="11" spans="1:6" x14ac:dyDescent="0.3">
      <c r="A11" s="8">
        <v>2</v>
      </c>
      <c r="B11" s="8" t="s">
        <v>120</v>
      </c>
      <c r="C11" s="8" t="s">
        <v>8</v>
      </c>
      <c r="D11" s="9">
        <v>41150</v>
      </c>
      <c r="E11" s="5">
        <v>33.414283887774424</v>
      </c>
      <c r="F11" s="5" t="s">
        <v>70</v>
      </c>
    </row>
    <row r="12" spans="1:6" x14ac:dyDescent="0.3">
      <c r="A12" s="8">
        <v>3</v>
      </c>
      <c r="B12" s="6" t="s">
        <v>123</v>
      </c>
      <c r="C12" s="8" t="s">
        <v>8</v>
      </c>
      <c r="D12" s="9">
        <v>41150</v>
      </c>
      <c r="E12" s="5">
        <v>7.5409482259158169</v>
      </c>
      <c r="F12" s="5">
        <v>17.795000000000002</v>
      </c>
    </row>
    <row r="13" spans="1:6" x14ac:dyDescent="0.3">
      <c r="A13" s="8">
        <v>4</v>
      </c>
      <c r="B13" s="6" t="s">
        <v>123</v>
      </c>
      <c r="C13" s="8" t="s">
        <v>8</v>
      </c>
      <c r="D13" s="9">
        <v>41150</v>
      </c>
      <c r="E13" s="5">
        <v>7.8692884024286922</v>
      </c>
      <c r="F13" s="5">
        <v>16.690000000000001</v>
      </c>
    </row>
    <row r="14" spans="1:6" x14ac:dyDescent="0.3">
      <c r="A14" s="8">
        <v>29</v>
      </c>
      <c r="B14" s="8" t="s">
        <v>120</v>
      </c>
      <c r="C14" s="6" t="s">
        <v>17</v>
      </c>
      <c r="D14" s="7">
        <v>41080</v>
      </c>
      <c r="E14" s="5">
        <v>32.562521544595377</v>
      </c>
      <c r="F14" s="5">
        <v>50.98</v>
      </c>
    </row>
    <row r="15" spans="1:6" x14ac:dyDescent="0.3">
      <c r="A15" s="8">
        <v>30</v>
      </c>
      <c r="B15" s="8" t="s">
        <v>120</v>
      </c>
      <c r="C15" s="6" t="s">
        <v>17</v>
      </c>
      <c r="D15" s="7">
        <v>41080</v>
      </c>
      <c r="E15" s="5">
        <v>38.746887833018988</v>
      </c>
      <c r="F15" s="5">
        <v>69.3</v>
      </c>
    </row>
    <row r="16" spans="1:6" x14ac:dyDescent="0.3">
      <c r="A16" s="8">
        <v>31</v>
      </c>
      <c r="B16" s="8" t="s">
        <v>120</v>
      </c>
      <c r="C16" s="6" t="s">
        <v>17</v>
      </c>
      <c r="D16" s="7">
        <v>41080</v>
      </c>
      <c r="E16" s="5">
        <v>44.77861251045443</v>
      </c>
      <c r="F16" s="5">
        <v>58.63</v>
      </c>
    </row>
    <row r="17" spans="1:6" x14ac:dyDescent="0.3">
      <c r="A17" s="8">
        <v>32</v>
      </c>
      <c r="B17" s="8" t="s">
        <v>120</v>
      </c>
      <c r="C17" s="6" t="s">
        <v>17</v>
      </c>
      <c r="D17" s="7">
        <v>41080</v>
      </c>
      <c r="E17" s="5">
        <v>43.154478712326181</v>
      </c>
      <c r="F17" s="5">
        <v>74.12</v>
      </c>
    </row>
    <row r="18" spans="1:6" x14ac:dyDescent="0.3">
      <c r="A18" s="8">
        <v>33</v>
      </c>
      <c r="B18" s="8" t="s">
        <v>120</v>
      </c>
      <c r="C18" s="6" t="s">
        <v>17</v>
      </c>
      <c r="D18" s="7">
        <v>41080</v>
      </c>
      <c r="E18" s="5">
        <v>40.362528369533635</v>
      </c>
      <c r="F18" s="5">
        <v>74.81</v>
      </c>
    </row>
    <row r="19" spans="1:6" x14ac:dyDescent="0.3">
      <c r="A19" s="8">
        <v>34</v>
      </c>
      <c r="B19" s="6" t="s">
        <v>123</v>
      </c>
      <c r="C19" s="6" t="s">
        <v>17</v>
      </c>
      <c r="D19" s="7">
        <v>41080</v>
      </c>
      <c r="E19" s="5" t="s">
        <v>70</v>
      </c>
      <c r="F19" s="5">
        <v>11.79</v>
      </c>
    </row>
    <row r="20" spans="1:6" x14ac:dyDescent="0.3">
      <c r="A20" s="8">
        <v>35</v>
      </c>
      <c r="B20" s="6" t="s">
        <v>123</v>
      </c>
      <c r="C20" s="6" t="s">
        <v>17</v>
      </c>
      <c r="D20" s="7">
        <v>41080</v>
      </c>
      <c r="E20" s="5" t="s">
        <v>70</v>
      </c>
      <c r="F20" s="5">
        <v>19.37</v>
      </c>
    </row>
    <row r="21" spans="1:6" x14ac:dyDescent="0.3">
      <c r="A21" s="8">
        <v>36</v>
      </c>
      <c r="B21" s="6" t="s">
        <v>123</v>
      </c>
      <c r="C21" s="6" t="s">
        <v>17</v>
      </c>
      <c r="D21" s="7">
        <v>41080</v>
      </c>
      <c r="E21" s="5">
        <v>4.5653745533869614</v>
      </c>
      <c r="F21" s="5" t="s">
        <v>70</v>
      </c>
    </row>
    <row r="22" spans="1:6" x14ac:dyDescent="0.3">
      <c r="A22" s="8">
        <v>37</v>
      </c>
      <c r="B22" s="6" t="s">
        <v>123</v>
      </c>
      <c r="C22" s="6" t="s">
        <v>17</v>
      </c>
      <c r="D22" s="7">
        <v>41080</v>
      </c>
      <c r="E22" s="5">
        <v>7.2191207840536</v>
      </c>
      <c r="F22" s="5" t="s">
        <v>70</v>
      </c>
    </row>
    <row r="23" spans="1:6" x14ac:dyDescent="0.3">
      <c r="A23" s="8">
        <v>38</v>
      </c>
      <c r="B23" s="6" t="s">
        <v>123</v>
      </c>
      <c r="C23" s="6" t="s">
        <v>17</v>
      </c>
      <c r="D23" s="7">
        <v>41080</v>
      </c>
      <c r="E23" s="5">
        <v>5.9420437532749952</v>
      </c>
      <c r="F23" s="5" t="s">
        <v>70</v>
      </c>
    </row>
    <row r="24" spans="1:6" x14ac:dyDescent="0.3">
      <c r="A24" s="8">
        <v>5</v>
      </c>
      <c r="B24" s="8" t="s">
        <v>120</v>
      </c>
      <c r="C24" s="6" t="s">
        <v>17</v>
      </c>
      <c r="D24" s="7">
        <v>41480</v>
      </c>
      <c r="E24" s="5">
        <v>52.914494755913047</v>
      </c>
      <c r="F24" s="5">
        <v>63.69</v>
      </c>
    </row>
    <row r="25" spans="1:6" x14ac:dyDescent="0.3">
      <c r="A25" s="8">
        <v>6</v>
      </c>
      <c r="B25" s="8" t="s">
        <v>120</v>
      </c>
      <c r="C25" s="6" t="s">
        <v>17</v>
      </c>
      <c r="D25" s="7">
        <v>41480</v>
      </c>
      <c r="E25" s="5">
        <v>53.412415544606837</v>
      </c>
      <c r="F25" s="5">
        <v>58.48</v>
      </c>
    </row>
    <row r="26" spans="1:6" x14ac:dyDescent="0.3">
      <c r="A26" s="8">
        <v>7</v>
      </c>
      <c r="B26" s="8" t="s">
        <v>120</v>
      </c>
      <c r="C26" s="6" t="s">
        <v>17</v>
      </c>
      <c r="D26" s="7">
        <v>41480</v>
      </c>
      <c r="E26" s="5">
        <v>59.154693209475262</v>
      </c>
      <c r="F26" s="5">
        <v>70.400000000000006</v>
      </c>
    </row>
    <row r="27" spans="1:6" x14ac:dyDescent="0.3">
      <c r="A27" s="8">
        <v>8</v>
      </c>
      <c r="B27" s="8" t="s">
        <v>120</v>
      </c>
      <c r="C27" s="6" t="s">
        <v>17</v>
      </c>
      <c r="D27" s="7">
        <v>41480</v>
      </c>
      <c r="E27" s="5">
        <v>58.558213507565235</v>
      </c>
      <c r="F27" s="5">
        <v>69.3</v>
      </c>
    </row>
    <row r="28" spans="1:6" x14ac:dyDescent="0.3">
      <c r="A28" s="8">
        <v>9</v>
      </c>
      <c r="B28" s="8" t="s">
        <v>120</v>
      </c>
      <c r="C28" s="6" t="s">
        <v>17</v>
      </c>
      <c r="D28" s="7">
        <v>41480</v>
      </c>
      <c r="E28" s="5">
        <v>46.421425188443415</v>
      </c>
      <c r="F28" s="5">
        <v>73.290000000000006</v>
      </c>
    </row>
    <row r="29" spans="1:6" x14ac:dyDescent="0.3">
      <c r="A29" s="8">
        <v>10</v>
      </c>
      <c r="B29" s="8" t="s">
        <v>120</v>
      </c>
      <c r="C29" s="6" t="s">
        <v>17</v>
      </c>
      <c r="D29" s="7">
        <v>41480</v>
      </c>
      <c r="E29" s="5">
        <v>49.4911223698806</v>
      </c>
      <c r="F29" s="5">
        <v>63.47</v>
      </c>
    </row>
    <row r="30" spans="1:6" x14ac:dyDescent="0.3">
      <c r="A30" s="8">
        <v>11</v>
      </c>
      <c r="B30" s="8" t="s">
        <v>120</v>
      </c>
      <c r="C30" s="6" t="s">
        <v>17</v>
      </c>
      <c r="D30" s="7">
        <v>41480</v>
      </c>
      <c r="E30" s="5">
        <v>48.239948710915002</v>
      </c>
      <c r="F30" s="5">
        <v>61.75</v>
      </c>
    </row>
    <row r="31" spans="1:6" x14ac:dyDescent="0.3">
      <c r="A31" s="8">
        <v>58</v>
      </c>
      <c r="B31" s="6" t="s">
        <v>120</v>
      </c>
      <c r="C31" s="6" t="s">
        <v>17</v>
      </c>
      <c r="D31" s="7">
        <v>41150</v>
      </c>
      <c r="E31" s="5" t="s">
        <v>70</v>
      </c>
      <c r="F31" s="5">
        <v>53.33</v>
      </c>
    </row>
    <row r="32" spans="1:6" x14ac:dyDescent="0.3">
      <c r="A32" s="8">
        <v>59</v>
      </c>
      <c r="B32" s="6" t="s">
        <v>120</v>
      </c>
      <c r="C32" s="6" t="s">
        <v>17</v>
      </c>
      <c r="D32" s="7">
        <v>41150</v>
      </c>
      <c r="E32" s="5" t="s">
        <v>70</v>
      </c>
      <c r="F32" s="5">
        <v>72.760000000000005</v>
      </c>
    </row>
    <row r="33" spans="1:6" x14ac:dyDescent="0.3">
      <c r="A33" s="8">
        <v>60</v>
      </c>
      <c r="B33" s="6" t="s">
        <v>120</v>
      </c>
      <c r="C33" s="6" t="s">
        <v>17</v>
      </c>
      <c r="D33" s="7">
        <v>41150</v>
      </c>
      <c r="E33" s="5" t="s">
        <v>70</v>
      </c>
      <c r="F33" s="5">
        <v>55.23</v>
      </c>
    </row>
    <row r="34" spans="1:6" x14ac:dyDescent="0.3">
      <c r="A34" s="6">
        <v>61</v>
      </c>
      <c r="B34" s="6" t="s">
        <v>120</v>
      </c>
      <c r="C34" s="6" t="s">
        <v>17</v>
      </c>
      <c r="D34" s="7">
        <v>41150</v>
      </c>
      <c r="E34" s="5">
        <v>54.620719550757784</v>
      </c>
      <c r="F34" s="5" t="s">
        <v>70</v>
      </c>
    </row>
    <row r="35" spans="1:6" x14ac:dyDescent="0.3">
      <c r="A35" s="6">
        <v>62</v>
      </c>
      <c r="B35" s="6" t="s">
        <v>120</v>
      </c>
      <c r="C35" s="6" t="s">
        <v>17</v>
      </c>
      <c r="D35" s="7">
        <v>41150</v>
      </c>
      <c r="E35" s="5">
        <v>67.617928295426481</v>
      </c>
      <c r="F35" s="5" t="s">
        <v>70</v>
      </c>
    </row>
    <row r="36" spans="1:6" x14ac:dyDescent="0.3">
      <c r="A36" s="6">
        <v>63</v>
      </c>
      <c r="B36" s="8" t="s">
        <v>120</v>
      </c>
      <c r="C36" s="6" t="s">
        <v>17</v>
      </c>
      <c r="D36" s="7">
        <v>41150</v>
      </c>
      <c r="E36" s="5">
        <v>50.167571175372942</v>
      </c>
      <c r="F36" s="5" t="s">
        <v>70</v>
      </c>
    </row>
    <row r="37" spans="1:6" x14ac:dyDescent="0.3">
      <c r="A37" s="3">
        <v>53</v>
      </c>
      <c r="B37" s="8" t="s">
        <v>120</v>
      </c>
      <c r="C37" s="3" t="s">
        <v>17</v>
      </c>
      <c r="D37" s="4">
        <v>41205</v>
      </c>
      <c r="E37" s="5">
        <v>72.954112865005797</v>
      </c>
      <c r="F37" s="5" t="s">
        <v>70</v>
      </c>
    </row>
    <row r="38" spans="1:6" x14ac:dyDescent="0.3">
      <c r="A38" s="8">
        <v>54</v>
      </c>
      <c r="B38" s="6" t="s">
        <v>120</v>
      </c>
      <c r="C38" s="6" t="s">
        <v>22</v>
      </c>
      <c r="D38" s="7">
        <v>41080</v>
      </c>
      <c r="E38" s="5">
        <v>36.288916962612497</v>
      </c>
      <c r="F38" s="5">
        <v>52.95</v>
      </c>
    </row>
    <row r="39" spans="1:6" x14ac:dyDescent="0.3">
      <c r="A39" s="8">
        <v>55</v>
      </c>
      <c r="B39" s="6" t="s">
        <v>120</v>
      </c>
      <c r="C39" s="6" t="s">
        <v>22</v>
      </c>
      <c r="D39" s="7">
        <v>41080</v>
      </c>
      <c r="E39" s="5">
        <v>38.180886428267996</v>
      </c>
      <c r="F39" s="5">
        <v>58.59</v>
      </c>
    </row>
    <row r="40" spans="1:6" x14ac:dyDescent="0.3">
      <c r="A40" s="8">
        <v>56</v>
      </c>
      <c r="B40" s="6" t="s">
        <v>120</v>
      </c>
      <c r="C40" s="6" t="s">
        <v>22</v>
      </c>
      <c r="D40" s="7">
        <v>41080</v>
      </c>
      <c r="E40" s="5">
        <v>40.192084503269157</v>
      </c>
      <c r="F40" s="5">
        <v>57.77</v>
      </c>
    </row>
    <row r="41" spans="1:6" x14ac:dyDescent="0.3">
      <c r="A41" s="6">
        <v>57</v>
      </c>
      <c r="B41" s="6" t="s">
        <v>123</v>
      </c>
      <c r="C41" s="6" t="s">
        <v>22</v>
      </c>
      <c r="D41" s="7">
        <v>41080</v>
      </c>
      <c r="E41" s="5">
        <v>10.322930730502552</v>
      </c>
      <c r="F41" s="5" t="s">
        <v>70</v>
      </c>
    </row>
    <row r="42" spans="1:6" x14ac:dyDescent="0.3">
      <c r="A42" s="8">
        <v>47</v>
      </c>
      <c r="B42" s="6" t="s">
        <v>120</v>
      </c>
      <c r="C42" s="6" t="s">
        <v>22</v>
      </c>
      <c r="D42" s="7">
        <v>41481</v>
      </c>
      <c r="E42" s="5" t="s">
        <v>70</v>
      </c>
      <c r="F42" s="5">
        <v>64.5</v>
      </c>
    </row>
    <row r="43" spans="1:6" x14ac:dyDescent="0.3">
      <c r="A43" s="8">
        <v>48</v>
      </c>
      <c r="B43" s="6" t="s">
        <v>120</v>
      </c>
      <c r="C43" s="6" t="s">
        <v>22</v>
      </c>
      <c r="D43" s="7">
        <v>41481</v>
      </c>
      <c r="E43" s="5" t="s">
        <v>70</v>
      </c>
      <c r="F43" s="5">
        <v>52.65</v>
      </c>
    </row>
    <row r="44" spans="1:6" x14ac:dyDescent="0.3">
      <c r="A44" s="6">
        <v>49</v>
      </c>
      <c r="B44" s="6" t="s">
        <v>120</v>
      </c>
      <c r="C44" s="6" t="s">
        <v>22</v>
      </c>
      <c r="D44" s="7">
        <v>41481</v>
      </c>
      <c r="E44" s="5">
        <v>50.757129849588708</v>
      </c>
      <c r="F44" s="5" t="s">
        <v>70</v>
      </c>
    </row>
    <row r="45" spans="1:6" x14ac:dyDescent="0.3">
      <c r="A45" s="6">
        <v>50</v>
      </c>
      <c r="B45" s="6" t="s">
        <v>120</v>
      </c>
      <c r="C45" s="6" t="s">
        <v>22</v>
      </c>
      <c r="D45" s="7">
        <v>41481</v>
      </c>
      <c r="E45" s="5">
        <v>55.539718892689656</v>
      </c>
      <c r="F45" s="5" t="s">
        <v>70</v>
      </c>
    </row>
    <row r="46" spans="1:6" x14ac:dyDescent="0.3">
      <c r="A46" s="6">
        <v>51</v>
      </c>
      <c r="B46" s="6" t="s">
        <v>120</v>
      </c>
      <c r="C46" s="6" t="s">
        <v>22</v>
      </c>
      <c r="D46" s="7">
        <v>41481</v>
      </c>
      <c r="E46" s="5">
        <v>70.09700575402195</v>
      </c>
      <c r="F46" s="5" t="s">
        <v>70</v>
      </c>
    </row>
    <row r="47" spans="1:6" x14ac:dyDescent="0.3">
      <c r="A47" s="6">
        <v>43</v>
      </c>
      <c r="B47" s="6" t="s">
        <v>120</v>
      </c>
      <c r="C47" s="6" t="s">
        <v>22</v>
      </c>
      <c r="D47" s="7">
        <v>41514</v>
      </c>
      <c r="E47" s="5">
        <v>42.719877246702936</v>
      </c>
      <c r="F47" s="5">
        <v>71.790000000000006</v>
      </c>
    </row>
    <row r="48" spans="1:6" x14ac:dyDescent="0.3">
      <c r="A48" s="6">
        <v>44</v>
      </c>
      <c r="B48" s="6" t="s">
        <v>120</v>
      </c>
      <c r="C48" s="6" t="s">
        <v>22</v>
      </c>
      <c r="D48" s="7">
        <v>41514</v>
      </c>
      <c r="E48" s="5">
        <v>39.748455701842985</v>
      </c>
      <c r="F48" s="5">
        <v>73.37</v>
      </c>
    </row>
    <row r="49" spans="1:6" x14ac:dyDescent="0.3">
      <c r="A49" s="6">
        <v>45</v>
      </c>
      <c r="B49" s="6" t="s">
        <v>120</v>
      </c>
      <c r="C49" s="6" t="s">
        <v>22</v>
      </c>
      <c r="D49" s="7">
        <v>41514</v>
      </c>
      <c r="E49" s="5">
        <v>63.688932664882913</v>
      </c>
      <c r="F49" s="5">
        <v>70.84</v>
      </c>
    </row>
    <row r="50" spans="1:6" x14ac:dyDescent="0.3">
      <c r="A50" s="6">
        <v>46</v>
      </c>
      <c r="B50" s="6" t="s">
        <v>120</v>
      </c>
      <c r="C50" s="6" t="s">
        <v>22</v>
      </c>
      <c r="D50" s="7">
        <v>41514</v>
      </c>
      <c r="E50" s="5">
        <v>47.82268667241685</v>
      </c>
      <c r="F50" s="5">
        <v>70.27</v>
      </c>
    </row>
    <row r="51" spans="1:6" x14ac:dyDescent="0.3">
      <c r="A51" s="8">
        <v>39</v>
      </c>
      <c r="B51" s="6" t="s">
        <v>120</v>
      </c>
      <c r="C51" s="6" t="s">
        <v>22</v>
      </c>
      <c r="D51" s="7">
        <v>41205</v>
      </c>
      <c r="E51" s="5" t="s">
        <v>70</v>
      </c>
      <c r="F51" s="5">
        <v>74.06</v>
      </c>
    </row>
    <row r="52" spans="1:6" x14ac:dyDescent="0.3">
      <c r="A52" s="6">
        <v>40</v>
      </c>
      <c r="B52" s="6" t="s">
        <v>120</v>
      </c>
      <c r="C52" s="6" t="s">
        <v>22</v>
      </c>
      <c r="D52" s="7">
        <v>41205</v>
      </c>
      <c r="E52" s="5">
        <v>48.806031651033216</v>
      </c>
      <c r="F52" s="5" t="s">
        <v>70</v>
      </c>
    </row>
    <row r="53" spans="1:6" x14ac:dyDescent="0.3">
      <c r="A53" s="6">
        <v>41</v>
      </c>
      <c r="B53" s="8" t="s">
        <v>120</v>
      </c>
      <c r="C53" s="6" t="s">
        <v>22</v>
      </c>
      <c r="D53" s="7">
        <v>41205</v>
      </c>
      <c r="E53" s="5">
        <v>50.048938703743886</v>
      </c>
      <c r="F53" s="5" t="s">
        <v>70</v>
      </c>
    </row>
    <row r="54" spans="1:6" x14ac:dyDescent="0.3">
      <c r="A54" s="3">
        <v>42</v>
      </c>
      <c r="B54" s="8" t="s">
        <v>120</v>
      </c>
      <c r="C54" s="3" t="s">
        <v>22</v>
      </c>
      <c r="D54" s="4">
        <v>41205</v>
      </c>
      <c r="E54" s="5">
        <v>48.287143050614745</v>
      </c>
      <c r="F54" s="5" t="s">
        <v>70</v>
      </c>
    </row>
    <row r="55" spans="1:6" x14ac:dyDescent="0.3">
      <c r="A55" s="8">
        <v>81</v>
      </c>
      <c r="B55" s="6" t="s">
        <v>123</v>
      </c>
      <c r="C55" s="6" t="s">
        <v>27</v>
      </c>
      <c r="D55" s="9">
        <v>41446</v>
      </c>
      <c r="E55" s="5" t="s">
        <v>70</v>
      </c>
      <c r="F55" s="5">
        <v>20.18</v>
      </c>
    </row>
    <row r="56" spans="1:6" x14ac:dyDescent="0.3">
      <c r="A56" s="8">
        <v>82</v>
      </c>
      <c r="B56" s="6" t="s">
        <v>123</v>
      </c>
      <c r="C56" s="6" t="s">
        <v>27</v>
      </c>
      <c r="D56" s="9">
        <v>41446</v>
      </c>
      <c r="E56" s="5" t="s">
        <v>70</v>
      </c>
      <c r="F56" s="5">
        <v>16.579999999999998</v>
      </c>
    </row>
    <row r="57" spans="1:6" x14ac:dyDescent="0.3">
      <c r="A57" s="8">
        <v>83</v>
      </c>
      <c r="B57" s="6" t="s">
        <v>123</v>
      </c>
      <c r="C57" s="6" t="s">
        <v>27</v>
      </c>
      <c r="D57" s="9">
        <v>41446</v>
      </c>
      <c r="E57" s="5" t="s">
        <v>70</v>
      </c>
      <c r="F57" s="5">
        <v>20.010000000000002</v>
      </c>
    </row>
    <row r="58" spans="1:6" x14ac:dyDescent="0.3">
      <c r="A58" s="8">
        <v>84</v>
      </c>
      <c r="B58" s="6" t="s">
        <v>123</v>
      </c>
      <c r="C58" s="6" t="s">
        <v>27</v>
      </c>
      <c r="D58" s="9">
        <v>41446</v>
      </c>
      <c r="E58" s="5">
        <v>36.117283020461976</v>
      </c>
      <c r="F58" s="5" t="s">
        <v>70</v>
      </c>
    </row>
    <row r="59" spans="1:6" x14ac:dyDescent="0.3">
      <c r="A59" s="8">
        <v>85</v>
      </c>
      <c r="B59" s="6" t="s">
        <v>123</v>
      </c>
      <c r="C59" s="6" t="s">
        <v>27</v>
      </c>
      <c r="D59" s="9">
        <v>41446</v>
      </c>
      <c r="E59" s="5">
        <v>10.14422206064825</v>
      </c>
      <c r="F59" s="5" t="s">
        <v>70</v>
      </c>
    </row>
    <row r="60" spans="1:6" x14ac:dyDescent="0.3">
      <c r="A60" s="8">
        <v>86</v>
      </c>
      <c r="B60" s="6" t="s">
        <v>123</v>
      </c>
      <c r="C60" s="6" t="s">
        <v>27</v>
      </c>
      <c r="D60" s="9">
        <v>41446</v>
      </c>
      <c r="E60" s="5">
        <v>13.744128306754995</v>
      </c>
      <c r="F60" s="5" t="s">
        <v>70</v>
      </c>
    </row>
    <row r="61" spans="1:6" x14ac:dyDescent="0.3">
      <c r="A61" s="8">
        <v>74</v>
      </c>
      <c r="B61" s="6" t="s">
        <v>120</v>
      </c>
      <c r="C61" s="6" t="s">
        <v>27</v>
      </c>
      <c r="D61" s="9">
        <v>41446</v>
      </c>
      <c r="E61" s="5">
        <v>52.34200217497083</v>
      </c>
      <c r="F61" s="5">
        <v>81.56</v>
      </c>
    </row>
    <row r="62" spans="1:6" x14ac:dyDescent="0.3">
      <c r="A62" s="8">
        <v>75</v>
      </c>
      <c r="B62" s="6" t="s">
        <v>120</v>
      </c>
      <c r="C62" s="6" t="s">
        <v>27</v>
      </c>
      <c r="D62" s="9">
        <v>41446</v>
      </c>
      <c r="E62" s="5">
        <v>45.05473915593543</v>
      </c>
      <c r="F62" s="5">
        <v>73.760000000000005</v>
      </c>
    </row>
    <row r="63" spans="1:6" x14ac:dyDescent="0.3">
      <c r="A63" s="8">
        <v>76</v>
      </c>
      <c r="B63" s="6" t="s">
        <v>120</v>
      </c>
      <c r="C63" s="6" t="s">
        <v>27</v>
      </c>
      <c r="D63" s="9">
        <v>41446</v>
      </c>
      <c r="E63" s="5">
        <v>42.036393499559722</v>
      </c>
      <c r="F63" s="5">
        <v>64.63</v>
      </c>
    </row>
    <row r="64" spans="1:6" x14ac:dyDescent="0.3">
      <c r="A64" s="8">
        <v>77</v>
      </c>
      <c r="B64" s="6" t="s">
        <v>120</v>
      </c>
      <c r="C64" s="6" t="s">
        <v>27</v>
      </c>
      <c r="D64" s="9">
        <v>41446</v>
      </c>
      <c r="E64" s="5">
        <v>53.872466928687366</v>
      </c>
      <c r="F64" s="5">
        <v>68.86</v>
      </c>
    </row>
    <row r="65" spans="1:6" x14ac:dyDescent="0.3">
      <c r="A65" s="8">
        <v>78</v>
      </c>
      <c r="B65" s="6" t="s">
        <v>120</v>
      </c>
      <c r="C65" s="6" t="s">
        <v>27</v>
      </c>
      <c r="D65" s="9">
        <v>41446</v>
      </c>
      <c r="E65" s="5">
        <v>54.834483689606913</v>
      </c>
      <c r="F65" s="5">
        <v>71.58</v>
      </c>
    </row>
    <row r="66" spans="1:6" x14ac:dyDescent="0.3">
      <c r="A66" s="8">
        <v>79</v>
      </c>
      <c r="B66" s="6" t="s">
        <v>120</v>
      </c>
      <c r="C66" s="6" t="s">
        <v>27</v>
      </c>
      <c r="D66" s="9">
        <v>41446</v>
      </c>
      <c r="E66" s="5">
        <v>57.305118848234095</v>
      </c>
      <c r="F66" s="5">
        <v>85.6</v>
      </c>
    </row>
    <row r="67" spans="1:6" x14ac:dyDescent="0.3">
      <c r="A67" s="8">
        <v>80</v>
      </c>
      <c r="B67" s="6" t="s">
        <v>120</v>
      </c>
      <c r="C67" s="6" t="s">
        <v>27</v>
      </c>
      <c r="D67" s="9">
        <v>41446</v>
      </c>
      <c r="E67" s="5">
        <v>58.600234480696074</v>
      </c>
      <c r="F67" s="5">
        <v>71.73</v>
      </c>
    </row>
    <row r="68" spans="1:6" x14ac:dyDescent="0.3">
      <c r="A68" s="6">
        <v>73</v>
      </c>
      <c r="B68" s="6" t="s">
        <v>123</v>
      </c>
      <c r="C68" s="6" t="s">
        <v>27</v>
      </c>
      <c r="D68" s="7">
        <v>41114</v>
      </c>
      <c r="E68" s="5">
        <v>46.726820309510344</v>
      </c>
      <c r="F68" s="5" t="s">
        <v>70</v>
      </c>
    </row>
    <row r="69" spans="1:6" x14ac:dyDescent="0.3">
      <c r="A69" s="6">
        <v>66</v>
      </c>
      <c r="B69" s="6" t="s">
        <v>120</v>
      </c>
      <c r="C69" s="6" t="s">
        <v>27</v>
      </c>
      <c r="D69" s="7">
        <v>41114</v>
      </c>
      <c r="E69" s="5">
        <v>53.628348057367305</v>
      </c>
      <c r="F69" s="5">
        <v>58.12</v>
      </c>
    </row>
    <row r="70" spans="1:6" x14ac:dyDescent="0.3">
      <c r="A70" s="6">
        <v>67</v>
      </c>
      <c r="B70" s="6" t="s">
        <v>120</v>
      </c>
      <c r="C70" s="6" t="s">
        <v>27</v>
      </c>
      <c r="D70" s="7">
        <v>41114</v>
      </c>
      <c r="E70" s="5">
        <v>73.708818958317551</v>
      </c>
      <c r="F70" s="5">
        <v>79.37</v>
      </c>
    </row>
    <row r="71" spans="1:6" x14ac:dyDescent="0.3">
      <c r="A71" s="6">
        <v>68</v>
      </c>
      <c r="B71" s="6" t="s">
        <v>120</v>
      </c>
      <c r="C71" s="6" t="s">
        <v>27</v>
      </c>
      <c r="D71" s="7">
        <v>41114</v>
      </c>
      <c r="E71" s="5">
        <v>55.773989007662038</v>
      </c>
      <c r="F71" s="5">
        <v>75.75</v>
      </c>
    </row>
    <row r="72" spans="1:6" x14ac:dyDescent="0.3">
      <c r="A72" s="6">
        <v>69</v>
      </c>
      <c r="B72" s="6" t="s">
        <v>120</v>
      </c>
      <c r="C72" s="6" t="s">
        <v>27</v>
      </c>
      <c r="D72" s="7">
        <v>41114</v>
      </c>
      <c r="E72" s="5">
        <v>55.531152334905258</v>
      </c>
      <c r="F72" s="5">
        <v>69.77</v>
      </c>
    </row>
    <row r="73" spans="1:6" x14ac:dyDescent="0.3">
      <c r="A73" s="6">
        <v>70</v>
      </c>
      <c r="B73" s="6" t="s">
        <v>120</v>
      </c>
      <c r="C73" s="6" t="s">
        <v>27</v>
      </c>
      <c r="D73" s="7">
        <v>41114</v>
      </c>
      <c r="E73" s="5">
        <v>56.420847809234004</v>
      </c>
      <c r="F73" s="5">
        <v>68.09</v>
      </c>
    </row>
    <row r="74" spans="1:6" x14ac:dyDescent="0.3">
      <c r="A74" s="6">
        <v>71</v>
      </c>
      <c r="B74" s="6" t="s">
        <v>120</v>
      </c>
      <c r="C74" s="6" t="s">
        <v>27</v>
      </c>
      <c r="D74" s="7">
        <v>41114</v>
      </c>
      <c r="E74" s="5">
        <v>58.332422651420892</v>
      </c>
      <c r="F74" s="5">
        <v>78.209999999999994</v>
      </c>
    </row>
    <row r="75" spans="1:6" x14ac:dyDescent="0.3">
      <c r="A75" s="6">
        <v>72</v>
      </c>
      <c r="B75" s="6" t="s">
        <v>120</v>
      </c>
      <c r="C75" s="6" t="s">
        <v>27</v>
      </c>
      <c r="D75" s="7">
        <v>41114</v>
      </c>
      <c r="E75" s="5">
        <v>53.14255917387937</v>
      </c>
      <c r="F75" s="5">
        <v>62.83</v>
      </c>
    </row>
    <row r="76" spans="1:6" x14ac:dyDescent="0.3">
      <c r="A76" s="6">
        <v>87</v>
      </c>
      <c r="B76" s="6" t="s">
        <v>120</v>
      </c>
      <c r="C76" s="6" t="s">
        <v>27</v>
      </c>
      <c r="D76" s="7">
        <v>41514</v>
      </c>
      <c r="E76" s="5">
        <v>72.447682953177875</v>
      </c>
      <c r="F76" s="5">
        <v>78.760000000000005</v>
      </c>
    </row>
    <row r="77" spans="1:6" x14ac:dyDescent="0.3">
      <c r="A77" s="6">
        <v>88</v>
      </c>
      <c r="B77" s="6" t="s">
        <v>120</v>
      </c>
      <c r="C77" s="6" t="s">
        <v>27</v>
      </c>
      <c r="D77" s="7">
        <v>41514</v>
      </c>
      <c r="E77" s="5">
        <v>61.019570934522591</v>
      </c>
      <c r="F77" s="5">
        <v>75.739999999999995</v>
      </c>
    </row>
    <row r="78" spans="1:6" x14ac:dyDescent="0.3">
      <c r="A78" s="6">
        <v>89</v>
      </c>
      <c r="B78" s="6" t="s">
        <v>120</v>
      </c>
      <c r="C78" s="6" t="s">
        <v>27</v>
      </c>
      <c r="D78" s="7">
        <v>41514</v>
      </c>
      <c r="E78" s="5">
        <v>76.957198780836677</v>
      </c>
      <c r="F78" s="5">
        <v>88.07</v>
      </c>
    </row>
    <row r="79" spans="1:6" x14ac:dyDescent="0.3">
      <c r="A79" s="6">
        <v>90</v>
      </c>
      <c r="B79" s="6" t="s">
        <v>120</v>
      </c>
      <c r="C79" s="6" t="s">
        <v>27</v>
      </c>
      <c r="D79" s="7">
        <v>41514</v>
      </c>
      <c r="E79" s="5">
        <v>63.545644221714575</v>
      </c>
      <c r="F79" s="5">
        <v>74.2</v>
      </c>
    </row>
    <row r="80" spans="1:6" x14ac:dyDescent="0.3">
      <c r="A80" s="6">
        <v>91</v>
      </c>
      <c r="B80" s="6" t="s">
        <v>120</v>
      </c>
      <c r="C80" s="6" t="s">
        <v>27</v>
      </c>
      <c r="D80" s="7">
        <v>41514</v>
      </c>
      <c r="E80" s="5">
        <v>62.587662587721361</v>
      </c>
      <c r="F80" s="5">
        <v>71.98</v>
      </c>
    </row>
    <row r="81" spans="1:6" x14ac:dyDescent="0.3">
      <c r="A81" s="6">
        <v>92</v>
      </c>
      <c r="B81" s="6" t="s">
        <v>120</v>
      </c>
      <c r="C81" s="6" t="s">
        <v>27</v>
      </c>
      <c r="D81" s="7">
        <v>41514</v>
      </c>
      <c r="E81" s="5">
        <v>58.135314232851123</v>
      </c>
      <c r="F81" s="5">
        <v>74.48</v>
      </c>
    </row>
    <row r="82" spans="1:6" x14ac:dyDescent="0.3">
      <c r="A82" s="6">
        <v>93</v>
      </c>
      <c r="B82" s="6" t="s">
        <v>120</v>
      </c>
      <c r="C82" s="6" t="s">
        <v>27</v>
      </c>
      <c r="D82" s="7">
        <v>41514</v>
      </c>
      <c r="E82" s="5">
        <v>52.453137759513233</v>
      </c>
      <c r="F82" s="5">
        <v>64.48</v>
      </c>
    </row>
    <row r="83" spans="1:6" x14ac:dyDescent="0.3">
      <c r="A83" s="8">
        <v>94</v>
      </c>
      <c r="B83" s="6" t="s">
        <v>123</v>
      </c>
      <c r="C83" s="6" t="s">
        <v>27</v>
      </c>
      <c r="D83" s="7">
        <v>41514</v>
      </c>
      <c r="E83" s="5" t="s">
        <v>70</v>
      </c>
      <c r="F83" s="5">
        <v>22.22</v>
      </c>
    </row>
    <row r="84" spans="1:6" x14ac:dyDescent="0.3">
      <c r="A84" s="8">
        <v>95</v>
      </c>
      <c r="B84" s="6" t="s">
        <v>123</v>
      </c>
      <c r="C84" s="6" t="s">
        <v>27</v>
      </c>
      <c r="D84" s="7">
        <v>41514</v>
      </c>
      <c r="E84" s="5" t="s">
        <v>70</v>
      </c>
      <c r="F84" s="5">
        <v>17.933333333333337</v>
      </c>
    </row>
    <row r="85" spans="1:6" x14ac:dyDescent="0.3">
      <c r="A85" s="8">
        <v>96</v>
      </c>
      <c r="B85" s="6" t="s">
        <v>123</v>
      </c>
      <c r="C85" s="6" t="s">
        <v>27</v>
      </c>
      <c r="D85" s="7">
        <v>41514</v>
      </c>
      <c r="E85" s="5" t="s">
        <v>70</v>
      </c>
      <c r="F85" s="5">
        <v>22.81</v>
      </c>
    </row>
    <row r="86" spans="1:6" x14ac:dyDescent="0.3">
      <c r="A86" s="6">
        <v>97</v>
      </c>
      <c r="B86" s="6" t="s">
        <v>123</v>
      </c>
      <c r="C86" s="6" t="s">
        <v>27</v>
      </c>
      <c r="D86" s="7">
        <v>41514</v>
      </c>
      <c r="E86" s="5">
        <v>15.987293120859681</v>
      </c>
      <c r="F86" s="5" t="s">
        <v>70</v>
      </c>
    </row>
    <row r="87" spans="1:6" x14ac:dyDescent="0.3">
      <c r="A87" s="6">
        <v>98</v>
      </c>
      <c r="B87" s="6" t="s">
        <v>123</v>
      </c>
      <c r="C87" s="6" t="s">
        <v>27</v>
      </c>
      <c r="D87" s="7">
        <v>41514</v>
      </c>
      <c r="E87" s="5">
        <v>13.744582628959025</v>
      </c>
      <c r="F87" s="5" t="s">
        <v>70</v>
      </c>
    </row>
    <row r="88" spans="1:6" x14ac:dyDescent="0.3">
      <c r="A88" s="6">
        <v>99</v>
      </c>
      <c r="B88" s="6" t="s">
        <v>123</v>
      </c>
      <c r="C88" s="6" t="s">
        <v>27</v>
      </c>
      <c r="D88" s="7">
        <v>41514</v>
      </c>
      <c r="E88" s="5">
        <v>12.356603193729466</v>
      </c>
      <c r="F88" s="5" t="s">
        <v>70</v>
      </c>
    </row>
    <row r="89" spans="1:6" x14ac:dyDescent="0.3">
      <c r="A89" s="8">
        <v>12</v>
      </c>
      <c r="B89" s="6" t="s">
        <v>120</v>
      </c>
      <c r="C89" s="3" t="s">
        <v>29</v>
      </c>
      <c r="D89" s="4">
        <v>41150</v>
      </c>
      <c r="E89" s="5" t="s">
        <v>70</v>
      </c>
      <c r="F89" s="5">
        <v>63.98</v>
      </c>
    </row>
    <row r="90" spans="1:6" x14ac:dyDescent="0.3">
      <c r="A90" s="8">
        <v>13</v>
      </c>
      <c r="B90" s="6" t="s">
        <v>120</v>
      </c>
      <c r="C90" s="3" t="s">
        <v>29</v>
      </c>
      <c r="D90" s="4">
        <v>41150</v>
      </c>
      <c r="E90" s="5" t="s">
        <v>70</v>
      </c>
      <c r="F90" s="5">
        <v>55.28</v>
      </c>
    </row>
    <row r="91" spans="1:6" x14ac:dyDescent="0.3">
      <c r="A91" s="8">
        <v>14</v>
      </c>
      <c r="B91" s="6" t="s">
        <v>120</v>
      </c>
      <c r="C91" s="3" t="s">
        <v>29</v>
      </c>
      <c r="D91" s="4">
        <v>41150</v>
      </c>
      <c r="E91" s="5" t="s">
        <v>70</v>
      </c>
      <c r="F91" s="5">
        <v>68.12</v>
      </c>
    </row>
    <row r="92" spans="1:6" x14ac:dyDescent="0.3">
      <c r="A92" s="8">
        <v>15</v>
      </c>
      <c r="B92" s="6" t="s">
        <v>120</v>
      </c>
      <c r="C92" s="3" t="s">
        <v>29</v>
      </c>
      <c r="D92" s="4">
        <v>41150</v>
      </c>
      <c r="E92" s="5" t="s">
        <v>70</v>
      </c>
      <c r="F92" s="5">
        <v>65.099999999999994</v>
      </c>
    </row>
    <row r="93" spans="1:6" x14ac:dyDescent="0.3">
      <c r="A93" s="3">
        <v>16</v>
      </c>
      <c r="B93" s="6" t="s">
        <v>120</v>
      </c>
      <c r="C93" s="3" t="s">
        <v>29</v>
      </c>
      <c r="D93" s="4">
        <v>41150</v>
      </c>
      <c r="E93" s="5">
        <v>63.625183766164589</v>
      </c>
      <c r="F93" s="5" t="s">
        <v>70</v>
      </c>
    </row>
    <row r="94" spans="1:6" x14ac:dyDescent="0.3">
      <c r="A94" s="6">
        <v>17</v>
      </c>
      <c r="B94" s="8" t="s">
        <v>120</v>
      </c>
      <c r="C94" s="6" t="s">
        <v>29</v>
      </c>
      <c r="D94" s="7">
        <v>41150</v>
      </c>
      <c r="E94" s="5">
        <v>38.475759527606833</v>
      </c>
      <c r="F94" s="5" t="s">
        <v>70</v>
      </c>
    </row>
    <row r="95" spans="1:6" x14ac:dyDescent="0.3">
      <c r="A95" s="6">
        <v>18</v>
      </c>
      <c r="B95" s="8" t="s">
        <v>120</v>
      </c>
      <c r="C95" s="6" t="s">
        <v>29</v>
      </c>
      <c r="D95" s="7">
        <v>41150</v>
      </c>
      <c r="E95" s="5">
        <v>51.39070634838378</v>
      </c>
      <c r="F95" s="5" t="s">
        <v>70</v>
      </c>
    </row>
    <row r="96" spans="1:6" x14ac:dyDescent="0.3">
      <c r="A96" s="8">
        <v>19</v>
      </c>
      <c r="B96" s="8" t="s">
        <v>120</v>
      </c>
      <c r="C96" s="3" t="s">
        <v>141</v>
      </c>
      <c r="D96" s="4">
        <v>41150</v>
      </c>
      <c r="E96" s="5" t="s">
        <v>70</v>
      </c>
      <c r="F96" s="5">
        <v>48.84</v>
      </c>
    </row>
    <row r="97" spans="1:6" x14ac:dyDescent="0.3">
      <c r="A97" s="8">
        <v>20</v>
      </c>
      <c r="B97" s="8" t="s">
        <v>120</v>
      </c>
      <c r="C97" s="3" t="s">
        <v>141</v>
      </c>
      <c r="D97" s="4">
        <v>41150</v>
      </c>
      <c r="E97" s="5" t="s">
        <v>70</v>
      </c>
      <c r="F97" s="5">
        <v>53.17</v>
      </c>
    </row>
    <row r="98" spans="1:6" x14ac:dyDescent="0.3">
      <c r="A98" s="8">
        <v>21</v>
      </c>
      <c r="B98" s="8" t="s">
        <v>120</v>
      </c>
      <c r="C98" s="3" t="s">
        <v>141</v>
      </c>
      <c r="D98" s="4">
        <v>41150</v>
      </c>
      <c r="E98" s="5">
        <v>38.434013602758498</v>
      </c>
      <c r="F98" s="5" t="s">
        <v>70</v>
      </c>
    </row>
    <row r="99" spans="1:6" x14ac:dyDescent="0.3">
      <c r="A99" s="8">
        <v>22</v>
      </c>
      <c r="B99" s="8" t="s">
        <v>120</v>
      </c>
      <c r="C99" s="3" t="s">
        <v>141</v>
      </c>
      <c r="D99" s="7">
        <v>41150</v>
      </c>
      <c r="E99" s="5">
        <v>34.212433763367052</v>
      </c>
      <c r="F99" s="5" t="s">
        <v>70</v>
      </c>
    </row>
    <row r="100" spans="1:6" x14ac:dyDescent="0.3">
      <c r="A100" s="8">
        <v>23</v>
      </c>
      <c r="B100" s="6" t="s">
        <v>123</v>
      </c>
      <c r="C100" s="3" t="s">
        <v>141</v>
      </c>
      <c r="D100" s="7">
        <v>41150</v>
      </c>
      <c r="E100" s="5">
        <v>10.315337421666028</v>
      </c>
      <c r="F100" s="5" t="s">
        <v>70</v>
      </c>
    </row>
    <row r="101" spans="1:6" x14ac:dyDescent="0.3">
      <c r="C101" s="11"/>
      <c r="D101" s="11"/>
      <c r="E101" s="12"/>
      <c r="F101" s="12"/>
    </row>
    <row r="102" spans="1:6" x14ac:dyDescent="0.3">
      <c r="C102" s="11"/>
      <c r="D102" s="11"/>
      <c r="E102" s="12"/>
      <c r="F102" s="12"/>
    </row>
    <row r="103" spans="1:6" x14ac:dyDescent="0.3">
      <c r="E103" s="12"/>
      <c r="F103" s="12"/>
    </row>
  </sheetData>
  <autoFilter ref="D1:D103" xr:uid="{08569C49-8FF3-4D8E-B5A2-73066881F19D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Site Locations</vt:lpstr>
      <vt:lpstr>25-26June2013</vt:lpstr>
      <vt:lpstr>9-10July2013</vt:lpstr>
      <vt:lpstr>25-26July2013</vt:lpstr>
      <vt:lpstr>13-14Aug2013</vt:lpstr>
      <vt:lpstr>all data mehg</vt:lpstr>
      <vt:lpstr>raw data thg</vt:lpstr>
      <vt:lpstr>summarized data</vt:lpstr>
    </vt:vector>
  </TitlesOfParts>
  <Company>Environment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Gleason,Amber [Burlington]</dc:creator>
  <cp:lastModifiedBy>Kyle Paradis</cp:lastModifiedBy>
  <dcterms:created xsi:type="dcterms:W3CDTF">2013-09-19T20:13:44Z</dcterms:created>
  <dcterms:modified xsi:type="dcterms:W3CDTF">2021-03-31T17:01:55Z</dcterms:modified>
</cp:coreProperties>
</file>